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R30" i="15"/>
  <c r="R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81" i="37"/>
  <c r="B25" i="37"/>
  <c r="C133" i="37" l="1"/>
  <c r="D133" i="37" s="1"/>
  <c r="B130" i="37"/>
  <c r="E129" i="37"/>
  <c r="F129" i="37" s="1"/>
  <c r="E48" i="37" s="1"/>
  <c r="C100" i="37"/>
  <c r="C48" i="37"/>
  <c r="B48" i="37"/>
  <c r="D48" i="37" l="1"/>
  <c r="D26" i="5"/>
  <c r="C30" i="15"/>
  <c r="G30" i="15"/>
  <c r="H30" i="15"/>
  <c r="I30" i="15"/>
  <c r="J30" i="15"/>
  <c r="K30" i="15"/>
  <c r="L30" i="15"/>
  <c r="M30" i="15"/>
  <c r="N30" i="15"/>
  <c r="F64" i="15"/>
  <c r="F63" i="15"/>
  <c r="F62" i="15"/>
  <c r="F61" i="15"/>
  <c r="F60" i="15"/>
  <c r="F59" i="15"/>
  <c r="F58" i="15"/>
  <c r="F57" i="15"/>
  <c r="F56" i="15"/>
  <c r="F55" i="15"/>
  <c r="F54" i="15"/>
  <c r="F53" i="15"/>
  <c r="F52" i="15"/>
  <c r="F51" i="15"/>
  <c r="F50" i="15"/>
  <c r="F49" i="15"/>
  <c r="F48" i="15"/>
  <c r="F47" i="15"/>
  <c r="F46" i="15"/>
  <c r="F45" i="15"/>
  <c r="F44" i="15"/>
  <c r="F43" i="15"/>
  <c r="F42" i="15"/>
  <c r="F40" i="15"/>
  <c r="F39" i="15"/>
  <c r="F38" i="15"/>
  <c r="F37" i="15"/>
  <c r="F36" i="15"/>
  <c r="F35" i="15"/>
  <c r="F34" i="15"/>
  <c r="F33" i="15"/>
  <c r="F32" i="15"/>
  <c r="F31" i="15"/>
  <c r="F29" i="15"/>
  <c r="F28" i="15"/>
  <c r="F27" i="15"/>
  <c r="F26" i="15"/>
  <c r="F25" i="15"/>
  <c r="P30" i="15"/>
  <c r="Q30" i="15"/>
  <c r="S30" i="15"/>
  <c r="F30" i="15" l="1"/>
  <c r="F41" i="15"/>
  <c r="E30" i="15"/>
  <c r="A15" i="37"/>
  <c r="A12" i="37"/>
  <c r="A9" i="37"/>
  <c r="A5" i="37"/>
  <c r="D134" i="37"/>
  <c r="C73" i="37" s="1"/>
  <c r="C134" i="37"/>
  <c r="B73" i="37" s="1"/>
  <c r="E133" i="37"/>
  <c r="E134" i="37" s="1"/>
  <c r="D73" i="37" s="1"/>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G113" i="37" s="1"/>
  <c r="D111" i="37"/>
  <c r="B111"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74" i="37" s="1"/>
  <c r="B52" i="37"/>
  <c r="B50" i="37"/>
  <c r="B59" i="37" s="1"/>
  <c r="B47" i="37"/>
  <c r="B45" i="37"/>
  <c r="B29" i="37" l="1"/>
  <c r="C67" i="37"/>
  <c r="H129" i="37"/>
  <c r="F48" i="37"/>
  <c r="D130" i="37"/>
  <c r="B49" i="37"/>
  <c r="C47" i="37"/>
  <c r="C52" i="37"/>
  <c r="I111" i="37"/>
  <c r="I113" i="37" s="1"/>
  <c r="C102" i="37" s="1"/>
  <c r="B46" i="37"/>
  <c r="D58" i="37"/>
  <c r="D52" i="37" s="1"/>
  <c r="B80" i="37"/>
  <c r="B66" i="37"/>
  <c r="B68" i="37" s="1"/>
  <c r="F133" i="37"/>
  <c r="B29" i="22"/>
  <c r="B22" i="22"/>
  <c r="A15" i="22"/>
  <c r="B21" i="22" s="1"/>
  <c r="A12" i="22"/>
  <c r="A9" i="22"/>
  <c r="A5" i="22"/>
  <c r="B91" i="22"/>
  <c r="B89" i="22"/>
  <c r="B66" i="22"/>
  <c r="B49" i="22"/>
  <c r="B32" i="22"/>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T48" i="15"/>
  <c r="U47" i="15"/>
  <c r="U46" i="15"/>
  <c r="T46" i="15"/>
  <c r="U45" i="15"/>
  <c r="U44" i="15"/>
  <c r="T44" i="15"/>
  <c r="U43" i="15"/>
  <c r="T43" i="15"/>
  <c r="U42" i="15"/>
  <c r="T42" i="15"/>
  <c r="U41" i="15"/>
  <c r="U40" i="15"/>
  <c r="T40" i="15"/>
  <c r="U39" i="15"/>
  <c r="T39" i="15"/>
  <c r="U38" i="15"/>
  <c r="T38" i="15"/>
  <c r="U37" i="15"/>
  <c r="T37" i="15"/>
  <c r="U36" i="15"/>
  <c r="T36" i="15"/>
  <c r="U35" i="15"/>
  <c r="T35" i="15"/>
  <c r="U34" i="15"/>
  <c r="T34" i="15"/>
  <c r="U33" i="15"/>
  <c r="T33" i="15"/>
  <c r="U32" i="15"/>
  <c r="U31" i="15"/>
  <c r="T31" i="15"/>
  <c r="O30" i="15"/>
  <c r="U29" i="15"/>
  <c r="T29" i="15"/>
  <c r="U28" i="15"/>
  <c r="T28" i="15"/>
  <c r="U27" i="15"/>
  <c r="T27" i="15"/>
  <c r="U26" i="15"/>
  <c r="T26" i="15"/>
  <c r="U25" i="15"/>
  <c r="T25" i="15"/>
  <c r="S24" i="15"/>
  <c r="Q24" i="15"/>
  <c r="O24" i="15"/>
  <c r="N24" i="15"/>
  <c r="M24" i="15"/>
  <c r="L24" i="15"/>
  <c r="K24" i="15"/>
  <c r="J24" i="15"/>
  <c r="I24" i="15"/>
  <c r="H24" i="15"/>
  <c r="G24" i="15"/>
  <c r="C24" i="15"/>
  <c r="B79" i="37" s="1"/>
  <c r="A15" i="10"/>
  <c r="A12" i="10"/>
  <c r="A9" i="10"/>
  <c r="A5" i="10"/>
  <c r="E130" i="37" l="1"/>
  <c r="C49" i="37"/>
  <c r="I129" i="37"/>
  <c r="G48" i="37"/>
  <c r="U24" i="15"/>
  <c r="C48" i="7" s="1"/>
  <c r="U30" i="15"/>
  <c r="C49" i="7" s="1"/>
  <c r="B30" i="22"/>
  <c r="B83" i="22" s="1"/>
  <c r="T30" i="15"/>
  <c r="T56" i="15"/>
  <c r="P24" i="15"/>
  <c r="T24" i="15" s="1"/>
  <c r="T41" i="15"/>
  <c r="T45" i="15"/>
  <c r="T47" i="15"/>
  <c r="C101" i="37"/>
  <c r="D102" i="37"/>
  <c r="E58" i="37"/>
  <c r="D47" i="37"/>
  <c r="D74" i="37"/>
  <c r="B75" i="37"/>
  <c r="G133" i="37"/>
  <c r="G134" i="37" s="1"/>
  <c r="F73" i="37" s="1"/>
  <c r="F134" i="37"/>
  <c r="E73" i="37" s="1"/>
  <c r="B63" i="22"/>
  <c r="B38" i="22"/>
  <c r="B80" i="22"/>
  <c r="B42" i="22"/>
  <c r="T49" i="15"/>
  <c r="T57" i="15"/>
  <c r="T52" i="15"/>
  <c r="F24" i="15"/>
  <c r="E24" i="15"/>
  <c r="T50" i="15"/>
  <c r="T32" i="15"/>
  <c r="D35" i="17"/>
  <c r="D33" i="17" s="1"/>
  <c r="D26" i="17" s="1"/>
  <c r="C35" i="17"/>
  <c r="C33" i="17" s="1"/>
  <c r="C26" i="17" s="1"/>
  <c r="F29" i="17"/>
  <c r="F37" i="17"/>
  <c r="F36" i="17"/>
  <c r="F34" i="17"/>
  <c r="F32" i="17"/>
  <c r="F31" i="17"/>
  <c r="F30" i="17"/>
  <c r="F28" i="17"/>
  <c r="F27" i="17"/>
  <c r="G26" i="17"/>
  <c r="E26" i="17"/>
  <c r="J129" i="37" l="1"/>
  <c r="H48" i="37"/>
  <c r="F130" i="37"/>
  <c r="D49" i="37"/>
  <c r="B72" i="22"/>
  <c r="B59" i="22"/>
  <c r="B46" i="22"/>
  <c r="B68" i="22"/>
  <c r="F35" i="17"/>
  <c r="F33" i="17" s="1"/>
  <c r="F26" i="17" s="1"/>
  <c r="I26" i="17" s="1"/>
  <c r="B55" i="22"/>
  <c r="B90" i="22"/>
  <c r="B51" i="22"/>
  <c r="B76" i="22"/>
  <c r="B34" i="22"/>
  <c r="B88" i="22"/>
  <c r="B54" i="37"/>
  <c r="E102" i="37"/>
  <c r="D101" i="37"/>
  <c r="E47" i="37"/>
  <c r="F58" i="37"/>
  <c r="E74" i="37"/>
  <c r="E52" i="37"/>
  <c r="C50" i="37"/>
  <c r="C59" i="37" s="1"/>
  <c r="C61" i="37"/>
  <c r="C60" i="37" s="1"/>
  <c r="H133" i="37"/>
  <c r="T63" i="15"/>
  <c r="T54" i="15"/>
  <c r="P26" i="17"/>
  <c r="Q26" i="17" s="1"/>
  <c r="C79" i="37" l="1"/>
  <c r="G130" i="37"/>
  <c r="E49" i="37"/>
  <c r="I48" i="37"/>
  <c r="K129" i="37"/>
  <c r="C76" i="37"/>
  <c r="F76" i="37"/>
  <c r="D67" i="37"/>
  <c r="B55" i="37"/>
  <c r="B56" i="37" s="1"/>
  <c r="B69" i="37" s="1"/>
  <c r="F102" i="37"/>
  <c r="E101" i="37"/>
  <c r="G58" i="37"/>
  <c r="F52" i="37"/>
  <c r="F47" i="37"/>
  <c r="F74" i="37"/>
  <c r="I133" i="37"/>
  <c r="D61" i="37"/>
  <c r="D60" i="37" s="1"/>
  <c r="D50" i="37"/>
  <c r="D59" i="37" s="1"/>
  <c r="H134" i="37"/>
  <c r="G73" i="37" s="1"/>
  <c r="C66" i="37"/>
  <c r="C68" i="37" s="1"/>
  <c r="C80" i="37"/>
  <c r="V26" i="17"/>
  <c r="O26" i="17"/>
  <c r="S26" i="17" s="1"/>
  <c r="W26" i="17" s="1"/>
  <c r="J26" i="17"/>
  <c r="T26" i="17"/>
  <c r="D79" i="37" l="1"/>
  <c r="H130" i="37"/>
  <c r="F49" i="37"/>
  <c r="J48" i="37"/>
  <c r="L129" i="37"/>
  <c r="C53" i="37"/>
  <c r="C55" i="37" s="1"/>
  <c r="C82" i="37" s="1"/>
  <c r="B82" i="37"/>
  <c r="D76" i="37"/>
  <c r="E67" i="37"/>
  <c r="B77" i="37"/>
  <c r="B70" i="37"/>
  <c r="B71" i="37" s="1"/>
  <c r="G102" i="37"/>
  <c r="F101" i="37"/>
  <c r="G52" i="37"/>
  <c r="G47" i="37"/>
  <c r="G74" i="37"/>
  <c r="H58" i="37"/>
  <c r="J133" i="37"/>
  <c r="J134" i="37" s="1"/>
  <c r="D80" i="37"/>
  <c r="D66" i="37"/>
  <c r="D68" i="37" s="1"/>
  <c r="E61" i="37"/>
  <c r="E60" i="37" s="1"/>
  <c r="E50" i="37"/>
  <c r="E59" i="37" s="1"/>
  <c r="I134" i="37"/>
  <c r="C75" i="37"/>
  <c r="X26" i="17"/>
  <c r="E79" i="37" l="1"/>
  <c r="B85" i="37"/>
  <c r="H73" i="37"/>
  <c r="C85" i="37"/>
  <c r="I73" i="37"/>
  <c r="G49" i="37"/>
  <c r="I130" i="37"/>
  <c r="K48" i="37"/>
  <c r="M129" i="37"/>
  <c r="D53" i="37"/>
  <c r="D55" i="37" s="1"/>
  <c r="D82" i="37" s="1"/>
  <c r="C56" i="37"/>
  <c r="C69" i="37" s="1"/>
  <c r="B72" i="37"/>
  <c r="B78" i="37"/>
  <c r="B83" i="37" s="1"/>
  <c r="E76" i="37"/>
  <c r="F67" i="37"/>
  <c r="G67" i="37" s="1"/>
  <c r="G101" i="37"/>
  <c r="H102" i="37"/>
  <c r="H74" i="37"/>
  <c r="H52" i="37"/>
  <c r="I58" i="37"/>
  <c r="H47" i="37"/>
  <c r="E80" i="37"/>
  <c r="E66" i="37"/>
  <c r="E68" i="37" s="1"/>
  <c r="K133" i="37"/>
  <c r="K134" i="37" s="1"/>
  <c r="F61" i="37"/>
  <c r="F60" i="37" s="1"/>
  <c r="F50" i="37"/>
  <c r="F59" i="37" s="1"/>
  <c r="D75" i="37"/>
  <c r="A14" i="12"/>
  <c r="A15" i="13" s="1"/>
  <c r="E15" i="14" s="1"/>
  <c r="A11" i="12"/>
  <c r="A12" i="13" s="1"/>
  <c r="A8" i="12"/>
  <c r="A9" i="13" s="1"/>
  <c r="E9" i="14" s="1"/>
  <c r="A9" i="6" s="1"/>
  <c r="A8" i="17" s="1"/>
  <c r="A4" i="12"/>
  <c r="A5" i="13" s="1"/>
  <c r="A5" i="14" s="1"/>
  <c r="A5" i="6" s="1"/>
  <c r="A4" i="17" s="1"/>
  <c r="E12" i="14"/>
  <c r="A12" i="6" s="1"/>
  <c r="A11" i="1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79" i="37" l="1"/>
  <c r="E53" i="37"/>
  <c r="E55" i="37" s="1"/>
  <c r="F53" i="37" s="1"/>
  <c r="D85" i="37"/>
  <c r="J73" i="37"/>
  <c r="B86" i="37"/>
  <c r="D56" i="37"/>
  <c r="D69" i="37" s="1"/>
  <c r="D77" i="37" s="1"/>
  <c r="L48" i="37"/>
  <c r="N129" i="37"/>
  <c r="H49" i="37"/>
  <c r="J130" i="37"/>
  <c r="C77" i="37"/>
  <c r="C70" i="37"/>
  <c r="C71" i="37" s="1"/>
  <c r="C78" i="37" s="1"/>
  <c r="G76" i="37"/>
  <c r="H67" i="37"/>
  <c r="B88" i="37"/>
  <c r="B84" i="37"/>
  <c r="B89" i="37" s="1"/>
  <c r="H101" i="37"/>
  <c r="I102" i="37"/>
  <c r="I47" i="37"/>
  <c r="J58" i="37"/>
  <c r="I74" i="37"/>
  <c r="I52" i="37"/>
  <c r="B87" i="37"/>
  <c r="B90" i="37" s="1"/>
  <c r="F80" i="37"/>
  <c r="F66" i="37"/>
  <c r="F68" i="37" s="1"/>
  <c r="G61" i="37"/>
  <c r="G60" i="37" s="1"/>
  <c r="G50" i="37"/>
  <c r="G59" i="37" s="1"/>
  <c r="L133" i="37"/>
  <c r="E75" i="37"/>
  <c r="A15" i="6"/>
  <c r="A14" i="17" s="1"/>
  <c r="A9" i="24"/>
  <c r="A12" i="24"/>
  <c r="A5" i="24"/>
  <c r="G79" i="37" l="1"/>
  <c r="I49" i="37"/>
  <c r="K130" i="37"/>
  <c r="M48" i="37"/>
  <c r="O129" i="37"/>
  <c r="D70" i="37"/>
  <c r="D71" i="37" s="1"/>
  <c r="D78" i="37" s="1"/>
  <c r="D83" i="37" s="1"/>
  <c r="D86" i="37" s="1"/>
  <c r="C83" i="37"/>
  <c r="C88" i="37" s="1"/>
  <c r="C72" i="37"/>
  <c r="A4" i="15"/>
  <c r="A5" i="5" s="1"/>
  <c r="A8" i="15"/>
  <c r="A9" i="5" s="1"/>
  <c r="A11" i="15"/>
  <c r="A12" i="5" s="1"/>
  <c r="H76" i="37"/>
  <c r="I67" i="37"/>
  <c r="I101" i="37"/>
  <c r="J102" i="37"/>
  <c r="K58" i="37"/>
  <c r="J47" i="37"/>
  <c r="J74" i="37"/>
  <c r="J52" i="37"/>
  <c r="F55" i="37"/>
  <c r="M133" i="37"/>
  <c r="M134" i="37" s="1"/>
  <c r="E82" i="37"/>
  <c r="E56" i="37"/>
  <c r="E69" i="37" s="1"/>
  <c r="L134" i="37"/>
  <c r="H61" i="37"/>
  <c r="H60" i="37" s="1"/>
  <c r="H50" i="37"/>
  <c r="H59" i="37" s="1"/>
  <c r="G80" i="37"/>
  <c r="G66" i="37"/>
  <c r="G68" i="37" s="1"/>
  <c r="F75" i="37"/>
  <c r="A15" i="24"/>
  <c r="H79" i="37" l="1"/>
  <c r="E85" i="37"/>
  <c r="K73" i="37"/>
  <c r="F85" i="37"/>
  <c r="L73" i="37"/>
  <c r="C86" i="37"/>
  <c r="D87" i="37" s="1"/>
  <c r="D72" i="37"/>
  <c r="N48" i="37"/>
  <c r="P129" i="37"/>
  <c r="J49" i="37"/>
  <c r="L130" i="37"/>
  <c r="C84" i="37"/>
  <c r="C89" i="37" s="1"/>
  <c r="I76" i="37"/>
  <c r="J67" i="37"/>
  <c r="K102" i="37"/>
  <c r="J101" i="37"/>
  <c r="D84" i="37"/>
  <c r="K47" i="37"/>
  <c r="K52" i="37"/>
  <c r="L58" i="37"/>
  <c r="K74" i="37"/>
  <c r="D88" i="37"/>
  <c r="E77" i="37"/>
  <c r="E70" i="37"/>
  <c r="G75" i="37"/>
  <c r="C87" i="37"/>
  <c r="C90" i="37" s="1"/>
  <c r="F82" i="37"/>
  <c r="F56" i="37"/>
  <c r="F69" i="37" s="1"/>
  <c r="H80" i="37"/>
  <c r="H66" i="37"/>
  <c r="H68" i="37" s="1"/>
  <c r="I61" i="37"/>
  <c r="I60" i="37" s="1"/>
  <c r="I50" i="37"/>
  <c r="I59" i="37" s="1"/>
  <c r="N133" i="37"/>
  <c r="G53" i="37"/>
  <c r="A14" i="15"/>
  <c r="A15" i="5" s="1"/>
  <c r="I79" i="37" l="1"/>
  <c r="K49" i="37"/>
  <c r="M130" i="37"/>
  <c r="O48" i="37"/>
  <c r="Q129" i="37"/>
  <c r="D89" i="37"/>
  <c r="K67" i="37"/>
  <c r="J76" i="37"/>
  <c r="L102" i="37"/>
  <c r="K101" i="37"/>
  <c r="M58" i="37"/>
  <c r="L52" i="37"/>
  <c r="L47" i="37"/>
  <c r="L74" i="37"/>
  <c r="D90" i="37"/>
  <c r="O133" i="37"/>
  <c r="O134" i="37" s="1"/>
  <c r="H75" i="37"/>
  <c r="N134" i="37"/>
  <c r="E71" i="37"/>
  <c r="I80" i="37"/>
  <c r="I66" i="37"/>
  <c r="I68" i="37" s="1"/>
  <c r="G55" i="37"/>
  <c r="H53" i="37" s="1"/>
  <c r="F77" i="37"/>
  <c r="F70" i="37"/>
  <c r="J61" i="37"/>
  <c r="J60" i="37" s="1"/>
  <c r="J50" i="37"/>
  <c r="J59" i="37" s="1"/>
  <c r="J79" i="37" l="1"/>
  <c r="G85" i="37"/>
  <c r="M73" i="37"/>
  <c r="H85" i="37"/>
  <c r="N73" i="37"/>
  <c r="P48" i="37"/>
  <c r="R129" i="37"/>
  <c r="L49" i="37"/>
  <c r="N130" i="37"/>
  <c r="L67" i="37"/>
  <c r="K76" i="37"/>
  <c r="M102" i="37"/>
  <c r="L101" i="37"/>
  <c r="M74" i="37"/>
  <c r="M52" i="37"/>
  <c r="M47" i="37"/>
  <c r="N58" i="37"/>
  <c r="H55" i="37"/>
  <c r="I53" i="37" s="1"/>
  <c r="J80" i="37"/>
  <c r="J66" i="37"/>
  <c r="J68" i="37" s="1"/>
  <c r="E78" i="37"/>
  <c r="E83" i="37" s="1"/>
  <c r="I75" i="37"/>
  <c r="K61" i="37"/>
  <c r="K60" i="37" s="1"/>
  <c r="K50" i="37"/>
  <c r="K59" i="37" s="1"/>
  <c r="G82" i="37"/>
  <c r="G56" i="37"/>
  <c r="G69" i="37" s="1"/>
  <c r="F71" i="37"/>
  <c r="F78" i="37" s="1"/>
  <c r="F83" i="37" s="1"/>
  <c r="F86" i="37" s="1"/>
  <c r="E72" i="37"/>
  <c r="P133" i="37"/>
  <c r="P134" i="37" s="1"/>
  <c r="K79" i="37" l="1"/>
  <c r="I85" i="37"/>
  <c r="O73" i="37"/>
  <c r="M49" i="37"/>
  <c r="O130" i="37"/>
  <c r="Q48" i="37"/>
  <c r="S129" i="37"/>
  <c r="L76" i="37"/>
  <c r="M67" i="37"/>
  <c r="N102" i="37"/>
  <c r="M101" i="37"/>
  <c r="N74" i="37"/>
  <c r="N52" i="37"/>
  <c r="N47" i="37"/>
  <c r="O58" i="37"/>
  <c r="J75" i="37"/>
  <c r="Q133" i="37"/>
  <c r="L61" i="37"/>
  <c r="L60" i="37" s="1"/>
  <c r="L50" i="37"/>
  <c r="L59" i="37" s="1"/>
  <c r="E86" i="37"/>
  <c r="E84" i="37"/>
  <c r="E89" i="37" s="1"/>
  <c r="F88" i="37"/>
  <c r="F84" i="37"/>
  <c r="E88" i="37"/>
  <c r="K80" i="37"/>
  <c r="K66" i="37"/>
  <c r="K68" i="37" s="1"/>
  <c r="I55" i="37"/>
  <c r="J53" i="37" s="1"/>
  <c r="F72" i="37"/>
  <c r="G77" i="37"/>
  <c r="G70" i="37"/>
  <c r="H56" i="37"/>
  <c r="H69" i="37" s="1"/>
  <c r="H82" i="37"/>
  <c r="L79" i="37" l="1"/>
  <c r="R48" i="37"/>
  <c r="T129" i="37"/>
  <c r="N49" i="37"/>
  <c r="P130" i="37"/>
  <c r="N67" i="37"/>
  <c r="M76" i="37"/>
  <c r="N101" i="37"/>
  <c r="O102" i="37"/>
  <c r="F89" i="37"/>
  <c r="O52" i="37"/>
  <c r="O74" i="37"/>
  <c r="P58" i="37"/>
  <c r="O47" i="37"/>
  <c r="H77" i="37"/>
  <c r="H70" i="37"/>
  <c r="E87" i="37"/>
  <c r="E90" i="37" s="1"/>
  <c r="F87" i="37"/>
  <c r="L80" i="37"/>
  <c r="L66" i="37"/>
  <c r="L68" i="37" s="1"/>
  <c r="M61" i="37"/>
  <c r="M60" i="37" s="1"/>
  <c r="M50" i="37"/>
  <c r="M59" i="37" s="1"/>
  <c r="J55" i="37"/>
  <c r="R133" i="37"/>
  <c r="G71" i="37"/>
  <c r="G72" i="37" s="1"/>
  <c r="I82" i="37"/>
  <c r="I56" i="37"/>
  <c r="I69" i="37" s="1"/>
  <c r="K75" i="37"/>
  <c r="Q134" i="37"/>
  <c r="M79" i="37" l="1"/>
  <c r="J85" i="37"/>
  <c r="P73" i="37"/>
  <c r="O49" i="37"/>
  <c r="Q130" i="37"/>
  <c r="S48" i="37"/>
  <c r="U129" i="37"/>
  <c r="N76" i="37"/>
  <c r="O67" i="37"/>
  <c r="O101" i="37"/>
  <c r="P102" i="37"/>
  <c r="Q58" i="37"/>
  <c r="P47" i="37"/>
  <c r="P52" i="37"/>
  <c r="P74" i="37"/>
  <c r="S133" i="37"/>
  <c r="S134" i="37" s="1"/>
  <c r="J82" i="37"/>
  <c r="J56" i="37"/>
  <c r="J69" i="37" s="1"/>
  <c r="G78" i="37"/>
  <c r="G83" i="37" s="1"/>
  <c r="R134" i="37"/>
  <c r="K53" i="37"/>
  <c r="L75" i="37"/>
  <c r="I77" i="37"/>
  <c r="I70" i="37"/>
  <c r="N61" i="37"/>
  <c r="N60" i="37" s="1"/>
  <c r="N50" i="37"/>
  <c r="N59" i="37" s="1"/>
  <c r="M80" i="37"/>
  <c r="M66" i="37"/>
  <c r="M68" i="37" s="1"/>
  <c r="H71" i="37"/>
  <c r="F90" i="37"/>
  <c r="N79" i="37" l="1"/>
  <c r="K85" i="37"/>
  <c r="Q73" i="37"/>
  <c r="L85" i="37"/>
  <c r="R73" i="37"/>
  <c r="T48" i="37"/>
  <c r="V129" i="37"/>
  <c r="P49" i="37"/>
  <c r="R130" i="37"/>
  <c r="P67" i="37"/>
  <c r="O76" i="37"/>
  <c r="Q102" i="37"/>
  <c r="P101" i="37"/>
  <c r="H78" i="37"/>
  <c r="H83" i="37" s="1"/>
  <c r="H86" i="37" s="1"/>
  <c r="R58" i="37"/>
  <c r="Q52" i="37"/>
  <c r="Q47" i="37"/>
  <c r="Q74" i="37"/>
  <c r="M75" i="37"/>
  <c r="I71" i="37"/>
  <c r="J77" i="37"/>
  <c r="J70" i="37"/>
  <c r="K55" i="37"/>
  <c r="L53" i="37" s="1"/>
  <c r="H72" i="37"/>
  <c r="O61" i="37"/>
  <c r="O60" i="37" s="1"/>
  <c r="O50" i="37"/>
  <c r="O59" i="37" s="1"/>
  <c r="N80" i="37"/>
  <c r="N66" i="37"/>
  <c r="N68" i="37" s="1"/>
  <c r="G86" i="37"/>
  <c r="G88" i="37"/>
  <c r="G84" i="37"/>
  <c r="G89" i="37" s="1"/>
  <c r="T133" i="37"/>
  <c r="T134" i="37" s="1"/>
  <c r="O79" i="37" l="1"/>
  <c r="H84" i="37"/>
  <c r="H89" i="37" s="1"/>
  <c r="M85" i="37"/>
  <c r="S73" i="37"/>
  <c r="Q49" i="37"/>
  <c r="S130" i="37"/>
  <c r="U48" i="37"/>
  <c r="W129" i="37"/>
  <c r="Q67" i="37"/>
  <c r="P76" i="37"/>
  <c r="R102" i="37"/>
  <c r="Q101" i="37"/>
  <c r="H88" i="37"/>
  <c r="I78" i="37"/>
  <c r="I83" i="37" s="1"/>
  <c r="I86" i="37" s="1"/>
  <c r="I87" i="37" s="1"/>
  <c r="R52" i="37"/>
  <c r="R47" i="37"/>
  <c r="R74" i="37"/>
  <c r="S58" i="37"/>
  <c r="I72" i="37"/>
  <c r="L55" i="37"/>
  <c r="M53" i="37" s="1"/>
  <c r="U133" i="37"/>
  <c r="N75" i="37"/>
  <c r="G87" i="37"/>
  <c r="G90" i="37" s="1"/>
  <c r="H87" i="37"/>
  <c r="J71" i="37"/>
  <c r="P61" i="37"/>
  <c r="P60" i="37" s="1"/>
  <c r="P50" i="37"/>
  <c r="P59" i="37" s="1"/>
  <c r="O80" i="37"/>
  <c r="O66" i="37"/>
  <c r="O68" i="37" s="1"/>
  <c r="K82" i="37"/>
  <c r="K56" i="37"/>
  <c r="K69" i="37" s="1"/>
  <c r="P79" i="37" l="1"/>
  <c r="V48" i="37"/>
  <c r="X129" i="37"/>
  <c r="R49" i="37"/>
  <c r="T130" i="37"/>
  <c r="Q76" i="37"/>
  <c r="R67" i="37"/>
  <c r="J78" i="37"/>
  <c r="J83" i="37" s="1"/>
  <c r="J86" i="37" s="1"/>
  <c r="R101" i="37"/>
  <c r="S102" i="37"/>
  <c r="I84" i="37"/>
  <c r="I89" i="37" s="1"/>
  <c r="I88" i="37"/>
  <c r="I90" i="37"/>
  <c r="J72" i="37"/>
  <c r="S74" i="37"/>
  <c r="S52" i="37"/>
  <c r="S47" i="37"/>
  <c r="T58" i="37"/>
  <c r="M55" i="37"/>
  <c r="N53" i="37" s="1"/>
  <c r="V133" i="37"/>
  <c r="V134" i="37" s="1"/>
  <c r="Q61" i="37"/>
  <c r="Q60" i="37" s="1"/>
  <c r="Q50" i="37"/>
  <c r="Q59" i="37" s="1"/>
  <c r="P80" i="37"/>
  <c r="P66" i="37"/>
  <c r="P68" i="37" s="1"/>
  <c r="O75" i="37"/>
  <c r="K77" i="37"/>
  <c r="K70" i="37"/>
  <c r="U134" i="37"/>
  <c r="H90" i="37"/>
  <c r="L82" i="37"/>
  <c r="L56" i="37"/>
  <c r="L69" i="37" s="1"/>
  <c r="Q79" i="37" l="1"/>
  <c r="O85" i="37"/>
  <c r="U73" i="37"/>
  <c r="N85" i="37"/>
  <c r="T73" i="37"/>
  <c r="S49" i="37"/>
  <c r="U130" i="37"/>
  <c r="W48" i="37"/>
  <c r="Y129" i="37"/>
  <c r="J84" i="37"/>
  <c r="J89" i="37" s="1"/>
  <c r="J88" i="37"/>
  <c r="R76" i="37"/>
  <c r="S67" i="37"/>
  <c r="T102" i="37"/>
  <c r="S101" i="37"/>
  <c r="T52" i="37"/>
  <c r="T47" i="37"/>
  <c r="T74" i="37"/>
  <c r="U58" i="37"/>
  <c r="N55" i="37"/>
  <c r="O53" i="37" s="1"/>
  <c r="J87" i="37"/>
  <c r="J90" i="37" s="1"/>
  <c r="L77" i="37"/>
  <c r="L70" i="37"/>
  <c r="K71" i="37"/>
  <c r="K78" i="37" s="1"/>
  <c r="K83" i="37" s="1"/>
  <c r="P75" i="37"/>
  <c r="W133" i="37"/>
  <c r="Q80" i="37"/>
  <c r="Q66" i="37"/>
  <c r="Q68" i="37" s="1"/>
  <c r="R61" i="37"/>
  <c r="R60" i="37" s="1"/>
  <c r="R50" i="37"/>
  <c r="R59" i="37" s="1"/>
  <c r="M82" i="37"/>
  <c r="M56" i="37"/>
  <c r="M69" i="37" s="1"/>
  <c r="R79" i="37" l="1"/>
  <c r="X48" i="37"/>
  <c r="Z129" i="37"/>
  <c r="T49" i="37"/>
  <c r="V130" i="37"/>
  <c r="T67" i="37"/>
  <c r="S76" i="37"/>
  <c r="T101" i="37"/>
  <c r="U102" i="37"/>
  <c r="V58" i="37"/>
  <c r="U74" i="37"/>
  <c r="U52" i="37"/>
  <c r="U47" i="37"/>
  <c r="K86" i="37"/>
  <c r="K87" i="37" s="1"/>
  <c r="K90" i="37" s="1"/>
  <c r="K88" i="37"/>
  <c r="K84" i="37"/>
  <c r="K89" i="37" s="1"/>
  <c r="X133" i="37"/>
  <c r="X134" i="37" s="1"/>
  <c r="Q75" i="37"/>
  <c r="N82" i="37"/>
  <c r="N56" i="37"/>
  <c r="N69" i="37" s="1"/>
  <c r="M77" i="37"/>
  <c r="M70" i="37"/>
  <c r="S61" i="37"/>
  <c r="S60" i="37" s="1"/>
  <c r="S50" i="37"/>
  <c r="S59" i="37" s="1"/>
  <c r="R80" i="37"/>
  <c r="R66" i="37"/>
  <c r="R68" i="37" s="1"/>
  <c r="W134" i="37"/>
  <c r="K72" i="37"/>
  <c r="L71" i="37"/>
  <c r="L78" i="37" s="1"/>
  <c r="L83" i="37" s="1"/>
  <c r="O55" i="37"/>
  <c r="P53" i="37" s="1"/>
  <c r="S79" i="37" l="1"/>
  <c r="P85" i="37"/>
  <c r="V73" i="37"/>
  <c r="Q85" i="37"/>
  <c r="W73" i="37"/>
  <c r="U49" i="37"/>
  <c r="W130" i="37"/>
  <c r="Y48" i="37"/>
  <c r="AA129" i="37"/>
  <c r="T76" i="37"/>
  <c r="U67" i="37"/>
  <c r="V102" i="37"/>
  <c r="U101" i="37"/>
  <c r="L72" i="37"/>
  <c r="V52" i="37"/>
  <c r="V47" i="37"/>
  <c r="V74" i="37"/>
  <c r="W58" i="37"/>
  <c r="P55" i="37"/>
  <c r="Q53" i="37" s="1"/>
  <c r="R75" i="37"/>
  <c r="N77" i="37"/>
  <c r="N70" i="37"/>
  <c r="O82" i="37"/>
  <c r="O56" i="37"/>
  <c r="O69" i="37" s="1"/>
  <c r="L86" i="37"/>
  <c r="L87" i="37" s="1"/>
  <c r="L84" i="37"/>
  <c r="L89" i="37" s="1"/>
  <c r="G28" i="37" s="1"/>
  <c r="L88" i="37"/>
  <c r="S80" i="37"/>
  <c r="S66" i="37"/>
  <c r="S68" i="37" s="1"/>
  <c r="M71" i="37"/>
  <c r="M78" i="37" s="1"/>
  <c r="M83" i="37" s="1"/>
  <c r="T61" i="37"/>
  <c r="T60" i="37" s="1"/>
  <c r="T50" i="37"/>
  <c r="T59" i="37" s="1"/>
  <c r="Y133" i="37"/>
  <c r="T79" i="37" l="1"/>
  <c r="Z48" i="37"/>
  <c r="AB129" i="37"/>
  <c r="V49" i="37"/>
  <c r="X130" i="37"/>
  <c r="U76" i="37"/>
  <c r="V67" i="37"/>
  <c r="W102" i="37"/>
  <c r="V101" i="37"/>
  <c r="W74" i="37"/>
  <c r="X58" i="37"/>
  <c r="W52" i="37"/>
  <c r="W47" i="37"/>
  <c r="M86" i="37"/>
  <c r="M87" i="37" s="1"/>
  <c r="M90" i="37" s="1"/>
  <c r="M84" i="37"/>
  <c r="M89" i="37" s="1"/>
  <c r="M88" i="37"/>
  <c r="U61" i="37"/>
  <c r="U60" i="37" s="1"/>
  <c r="U50" i="37"/>
  <c r="U59" i="37" s="1"/>
  <c r="O77" i="37"/>
  <c r="O70" i="37"/>
  <c r="T80" i="37"/>
  <c r="T66" i="37"/>
  <c r="T68" i="37" s="1"/>
  <c r="Z133" i="37"/>
  <c r="Z134" i="37" s="1"/>
  <c r="S75" i="37"/>
  <c r="N71" i="37"/>
  <c r="N78" i="37" s="1"/>
  <c r="N83" i="37" s="1"/>
  <c r="Q55" i="37"/>
  <c r="Y134" i="37"/>
  <c r="M72" i="37"/>
  <c r="L90" i="37"/>
  <c r="G29" i="37" s="1"/>
  <c r="G30" i="37"/>
  <c r="P82" i="37"/>
  <c r="P56" i="37"/>
  <c r="P69" i="37" s="1"/>
  <c r="U79" i="37" l="1"/>
  <c r="R85" i="37"/>
  <c r="X73" i="37"/>
  <c r="S85" i="37"/>
  <c r="Y73" i="37"/>
  <c r="W49" i="37"/>
  <c r="Y130" i="37"/>
  <c r="AA48" i="37"/>
  <c r="AC129" i="37"/>
  <c r="W67" i="37"/>
  <c r="V76" i="37"/>
  <c r="X102" i="37"/>
  <c r="W101" i="37"/>
  <c r="N72" i="37"/>
  <c r="X74" i="37"/>
  <c r="Y58" i="37"/>
  <c r="X52" i="37"/>
  <c r="X47" i="37"/>
  <c r="Q82" i="37"/>
  <c r="Q56" i="37"/>
  <c r="Q69" i="37" s="1"/>
  <c r="O71" i="37"/>
  <c r="O78" i="37" s="1"/>
  <c r="O83" i="37" s="1"/>
  <c r="T75" i="37"/>
  <c r="P77" i="37"/>
  <c r="P70" i="37"/>
  <c r="N86" i="37"/>
  <c r="N87" i="37" s="1"/>
  <c r="N90" i="37" s="1"/>
  <c r="N84" i="37"/>
  <c r="N89" i="37" s="1"/>
  <c r="N88" i="37"/>
  <c r="U80" i="37"/>
  <c r="U66" i="37"/>
  <c r="U68" i="37" s="1"/>
  <c r="R53" i="37"/>
  <c r="AA133" i="37"/>
  <c r="AA134" i="37" s="1"/>
  <c r="V61" i="37"/>
  <c r="V60" i="37" s="1"/>
  <c r="V50" i="37"/>
  <c r="V59" i="37" s="1"/>
  <c r="V79" i="37" l="1"/>
  <c r="T85" i="37"/>
  <c r="Z73" i="37"/>
  <c r="AB48" i="37"/>
  <c r="AD129" i="37"/>
  <c r="X49" i="37"/>
  <c r="Z130" i="37"/>
  <c r="X67" i="37"/>
  <c r="W76" i="37"/>
  <c r="Y102" i="37"/>
  <c r="X101" i="37"/>
  <c r="Y74" i="37"/>
  <c r="Y47" i="37"/>
  <c r="Z58" i="37"/>
  <c r="Y52" i="37"/>
  <c r="W61" i="37"/>
  <c r="W60" i="37" s="1"/>
  <c r="W50" i="37"/>
  <c r="W59" i="37" s="1"/>
  <c r="AB133" i="37"/>
  <c r="O86" i="37"/>
  <c r="O87" i="37" s="1"/>
  <c r="O90" i="37" s="1"/>
  <c r="O88" i="37"/>
  <c r="O84" i="37"/>
  <c r="O89" i="37" s="1"/>
  <c r="V80" i="37"/>
  <c r="V66" i="37"/>
  <c r="V68" i="37" s="1"/>
  <c r="R55" i="37"/>
  <c r="Q77" i="37"/>
  <c r="Q70" i="37"/>
  <c r="P71" i="37"/>
  <c r="P78" i="37" s="1"/>
  <c r="P83" i="37" s="1"/>
  <c r="O72" i="37"/>
  <c r="U75" i="37"/>
  <c r="W79" i="37" l="1"/>
  <c r="Y49" i="37"/>
  <c r="AA130" i="37"/>
  <c r="AC48" i="37"/>
  <c r="AE129" i="37"/>
  <c r="Y67" i="37"/>
  <c r="X76" i="37"/>
  <c r="Z102" i="37"/>
  <c r="Y101" i="37"/>
  <c r="P72" i="37"/>
  <c r="Z52" i="37"/>
  <c r="AA58" i="37"/>
  <c r="Z47" i="37"/>
  <c r="Z74" i="37"/>
  <c r="P86" i="37"/>
  <c r="P87" i="37" s="1"/>
  <c r="P90" i="37" s="1"/>
  <c r="P88" i="37"/>
  <c r="P84" i="37"/>
  <c r="P89" i="37" s="1"/>
  <c r="AC133" i="37"/>
  <c r="AC134" i="37" s="1"/>
  <c r="W80" i="37"/>
  <c r="W66" i="37"/>
  <c r="W68" i="37" s="1"/>
  <c r="V75" i="37"/>
  <c r="AB134" i="37"/>
  <c r="R82" i="37"/>
  <c r="R56" i="37"/>
  <c r="R69" i="37" s="1"/>
  <c r="Q71" i="37"/>
  <c r="Q78" i="37" s="1"/>
  <c r="Q83" i="37" s="1"/>
  <c r="S53" i="37"/>
  <c r="X61" i="37"/>
  <c r="X60" i="37" s="1"/>
  <c r="X50" i="37"/>
  <c r="X59" i="37" s="1"/>
  <c r="X79" i="37" l="1"/>
  <c r="V85" i="37"/>
  <c r="AB73" i="37"/>
  <c r="U85" i="37"/>
  <c r="AA73" i="37"/>
  <c r="AD48" i="37"/>
  <c r="AF129" i="37"/>
  <c r="Z49" i="37"/>
  <c r="AB130" i="37"/>
  <c r="Q72" i="37"/>
  <c r="Z67" i="37"/>
  <c r="Y76" i="37"/>
  <c r="AA102" i="37"/>
  <c r="Z101" i="37"/>
  <c r="AA74" i="37"/>
  <c r="AA47" i="37"/>
  <c r="AA52" i="37"/>
  <c r="AB58" i="37"/>
  <c r="Q86" i="37"/>
  <c r="Q87" i="37" s="1"/>
  <c r="Q90" i="37" s="1"/>
  <c r="Q88" i="37"/>
  <c r="Q84" i="37"/>
  <c r="Q89" i="37" s="1"/>
  <c r="S55" i="37"/>
  <c r="T53" i="37" s="1"/>
  <c r="W75" i="37"/>
  <c r="Y61" i="37"/>
  <c r="Y60" i="37" s="1"/>
  <c r="Y50" i="37"/>
  <c r="Y59" i="37" s="1"/>
  <c r="X80" i="37"/>
  <c r="X66" i="37"/>
  <c r="X68" i="37" s="1"/>
  <c r="R77" i="37"/>
  <c r="R70" i="37"/>
  <c r="AD133" i="37"/>
  <c r="Y79" i="37" l="1"/>
  <c r="AA49" i="37"/>
  <c r="AC130" i="37"/>
  <c r="AE48" i="37"/>
  <c r="AG129" i="37"/>
  <c r="Z76" i="37"/>
  <c r="AA67" i="37"/>
  <c r="AB102" i="37"/>
  <c r="AA101" i="37"/>
  <c r="AB74" i="37"/>
  <c r="AC58" i="37"/>
  <c r="AB52" i="37"/>
  <c r="AB47" i="37"/>
  <c r="R71" i="37"/>
  <c r="R78" i="37" s="1"/>
  <c r="R83" i="37" s="1"/>
  <c r="T55" i="37"/>
  <c r="U53" i="37" s="1"/>
  <c r="S82" i="37"/>
  <c r="S56" i="37"/>
  <c r="S69" i="37" s="1"/>
  <c r="AE133" i="37"/>
  <c r="Z61" i="37"/>
  <c r="Z60" i="37" s="1"/>
  <c r="Z50" i="37"/>
  <c r="Z59" i="37" s="1"/>
  <c r="Y80" i="37"/>
  <c r="Y66" i="37"/>
  <c r="Y68" i="37" s="1"/>
  <c r="AD134" i="37"/>
  <c r="X75" i="37"/>
  <c r="Z79" i="37" l="1"/>
  <c r="W85" i="37"/>
  <c r="AC73" i="37"/>
  <c r="AF48" i="37"/>
  <c r="AB49" i="37"/>
  <c r="AD130" i="37"/>
  <c r="R72" i="37"/>
  <c r="AB67" i="37"/>
  <c r="AA76" i="37"/>
  <c r="AC102" i="37"/>
  <c r="AB101" i="37"/>
  <c r="AC52" i="37"/>
  <c r="AC47" i="37"/>
  <c r="AD58" i="37"/>
  <c r="AC74" i="37"/>
  <c r="AF133" i="37"/>
  <c r="AF134" i="37" s="1"/>
  <c r="Z80" i="37"/>
  <c r="Z66" i="37"/>
  <c r="Z68" i="37" s="1"/>
  <c r="S77" i="37"/>
  <c r="S70" i="37"/>
  <c r="R86" i="37"/>
  <c r="R87" i="37" s="1"/>
  <c r="R90" i="37" s="1"/>
  <c r="R84" i="37"/>
  <c r="R89" i="37" s="1"/>
  <c r="R88" i="37"/>
  <c r="AA61" i="37"/>
  <c r="AA60" i="37" s="1"/>
  <c r="AA50" i="37"/>
  <c r="AA59" i="37" s="1"/>
  <c r="U55" i="37"/>
  <c r="V53" i="37" s="1"/>
  <c r="Y75" i="37"/>
  <c r="AE134" i="37"/>
  <c r="T82" i="37"/>
  <c r="T56" i="37"/>
  <c r="T69" i="37" s="1"/>
  <c r="AA79" i="37" l="1"/>
  <c r="X85" i="37"/>
  <c r="AD73" i="37"/>
  <c r="Y85" i="37"/>
  <c r="AE73" i="37"/>
  <c r="AC49" i="37"/>
  <c r="AE130" i="37"/>
  <c r="AC67" i="37"/>
  <c r="AB76" i="37"/>
  <c r="AD102" i="37"/>
  <c r="AC101" i="37"/>
  <c r="AE58" i="37"/>
  <c r="AD52" i="37"/>
  <c r="AD47" i="37"/>
  <c r="AD74" i="37"/>
  <c r="AA80" i="37"/>
  <c r="AA66" i="37"/>
  <c r="AA68" i="37" s="1"/>
  <c r="T77" i="37"/>
  <c r="T70" i="37"/>
  <c r="V55" i="37"/>
  <c r="W53" i="37" s="1"/>
  <c r="U82" i="37"/>
  <c r="U56" i="37"/>
  <c r="U69" i="37" s="1"/>
  <c r="Z75" i="37"/>
  <c r="AB61" i="37"/>
  <c r="AB60" i="37" s="1"/>
  <c r="AB50" i="37"/>
  <c r="AB59" i="37" s="1"/>
  <c r="S71" i="37"/>
  <c r="S78" i="37" s="1"/>
  <c r="S83" i="37" s="1"/>
  <c r="AG133" i="37"/>
  <c r="AG134" i="37" s="1"/>
  <c r="AB79" i="37" l="1"/>
  <c r="Z85" i="37"/>
  <c r="AF73" i="37"/>
  <c r="AD49" i="37"/>
  <c r="AF130" i="37"/>
  <c r="S72" i="37"/>
  <c r="AD67" i="37"/>
  <c r="AC76" i="37"/>
  <c r="AD101" i="37"/>
  <c r="AE102" i="37"/>
  <c r="AF58" i="37"/>
  <c r="AE47" i="37"/>
  <c r="AE52" i="37"/>
  <c r="AE74" i="37"/>
  <c r="S86" i="37"/>
  <c r="S87" i="37" s="1"/>
  <c r="S90" i="37" s="1"/>
  <c r="S84" i="37"/>
  <c r="S89" i="37" s="1"/>
  <c r="S88" i="37"/>
  <c r="W55" i="37"/>
  <c r="U77" i="37"/>
  <c r="U70" i="37"/>
  <c r="T71" i="37"/>
  <c r="T78" i="37" s="1"/>
  <c r="T83" i="37" s="1"/>
  <c r="AC61" i="37"/>
  <c r="AC60" i="37" s="1"/>
  <c r="AC50" i="37"/>
  <c r="AC59" i="37" s="1"/>
  <c r="AB80" i="37"/>
  <c r="AB66" i="37"/>
  <c r="AB68" i="37" s="1"/>
  <c r="AA75" i="37"/>
  <c r="V82" i="37"/>
  <c r="V56" i="37"/>
  <c r="V69" i="37" s="1"/>
  <c r="AC79" i="37" l="1"/>
  <c r="AE49" i="37"/>
  <c r="AG130" i="37"/>
  <c r="AE67" i="37"/>
  <c r="AD76" i="37"/>
  <c r="AE101" i="37"/>
  <c r="AF102" i="37"/>
  <c r="T72" i="37"/>
  <c r="AF52" i="37"/>
  <c r="AF47" i="37"/>
  <c r="AF74" i="37"/>
  <c r="V77" i="37"/>
  <c r="V70" i="37"/>
  <c r="W82" i="37"/>
  <c r="W56" i="37"/>
  <c r="W69" i="37" s="1"/>
  <c r="AC80" i="37"/>
  <c r="AC66" i="37"/>
  <c r="AC68" i="37" s="1"/>
  <c r="U71" i="37"/>
  <c r="U78" i="37" s="1"/>
  <c r="U83" i="37" s="1"/>
  <c r="AD61" i="37"/>
  <c r="AD60" i="37" s="1"/>
  <c r="AD50" i="37"/>
  <c r="AD59" i="37" s="1"/>
  <c r="AB75" i="37"/>
  <c r="T86" i="37"/>
  <c r="T87" i="37" s="1"/>
  <c r="T90" i="37" s="1"/>
  <c r="T84" i="37"/>
  <c r="T89" i="37" s="1"/>
  <c r="T88" i="37"/>
  <c r="X53" i="37"/>
  <c r="AD79" i="37" l="1"/>
  <c r="AA85" i="37"/>
  <c r="AF49" i="37"/>
  <c r="AE76" i="37"/>
  <c r="AF67" i="37"/>
  <c r="AG102" i="37"/>
  <c r="AF101" i="37"/>
  <c r="U72" i="37"/>
  <c r="U86" i="37"/>
  <c r="U87" i="37" s="1"/>
  <c r="U90" i="37" s="1"/>
  <c r="U88" i="37"/>
  <c r="U84" i="37"/>
  <c r="U89" i="37" s="1"/>
  <c r="AD80" i="37"/>
  <c r="AD66" i="37"/>
  <c r="AD68" i="37" s="1"/>
  <c r="AC75" i="37"/>
  <c r="X55" i="37"/>
  <c r="Y53" i="37" s="1"/>
  <c r="W77" i="37"/>
  <c r="W70" i="37"/>
  <c r="V71" i="37"/>
  <c r="V78" i="37" s="1"/>
  <c r="V83" i="37" s="1"/>
  <c r="AE61" i="37"/>
  <c r="AE60" i="37" s="1"/>
  <c r="AE50" i="37"/>
  <c r="AE59" i="37" s="1"/>
  <c r="AE79" i="37" l="1"/>
  <c r="AC85" i="37"/>
  <c r="AB85" i="37"/>
  <c r="AF76" i="37"/>
  <c r="AG101" i="37"/>
  <c r="V72" i="37"/>
  <c r="V86" i="37"/>
  <c r="V87" i="37" s="1"/>
  <c r="V90" i="37" s="1"/>
  <c r="V84" i="37"/>
  <c r="V89" i="37" s="1"/>
  <c r="V88" i="37"/>
  <c r="Y55" i="37"/>
  <c r="Z53" i="37" s="1"/>
  <c r="AE80" i="37"/>
  <c r="AE66" i="37"/>
  <c r="AE68" i="37" s="1"/>
  <c r="W71" i="37"/>
  <c r="W78" i="37" s="1"/>
  <c r="W83" i="37" s="1"/>
  <c r="X56" i="37"/>
  <c r="X69" i="37" s="1"/>
  <c r="X82" i="37"/>
  <c r="AF61" i="37"/>
  <c r="AF60" i="37" s="1"/>
  <c r="AF50" i="37"/>
  <c r="AF59" i="37" s="1"/>
  <c r="AD75" i="37"/>
  <c r="AF79" i="37" l="1"/>
  <c r="W86" i="37"/>
  <c r="W87" i="37" s="1"/>
  <c r="W90" i="37" s="1"/>
  <c r="W84" i="37"/>
  <c r="W89" i="37" s="1"/>
  <c r="W88" i="37"/>
  <c r="AF80" i="37"/>
  <c r="AF66" i="37"/>
  <c r="AF68" i="37" s="1"/>
  <c r="Z55" i="37"/>
  <c r="W72" i="37"/>
  <c r="Y82" i="37"/>
  <c r="Y56" i="37"/>
  <c r="Y69" i="37" s="1"/>
  <c r="X77" i="37"/>
  <c r="X70" i="37"/>
  <c r="AE75" i="37"/>
  <c r="AD85" i="37" l="1"/>
  <c r="AE85" i="37"/>
  <c r="Y77" i="37"/>
  <c r="Y70" i="37"/>
  <c r="AF75" i="37"/>
  <c r="X71" i="37"/>
  <c r="X78" i="37" s="1"/>
  <c r="X83" i="37" s="1"/>
  <c r="Z82" i="37"/>
  <c r="Z56" i="37"/>
  <c r="Z69" i="37" s="1"/>
  <c r="AA53" i="37"/>
  <c r="AF85" i="37" l="1"/>
  <c r="X72" i="37"/>
  <c r="X86" i="37"/>
  <c r="X87" i="37" s="1"/>
  <c r="X90" i="37" s="1"/>
  <c r="X88" i="37"/>
  <c r="X84" i="37"/>
  <c r="X89" i="37" s="1"/>
  <c r="AA55" i="37"/>
  <c r="AB53" i="37" s="1"/>
  <c r="Z77" i="37"/>
  <c r="Z70" i="37"/>
  <c r="Y71" i="37"/>
  <c r="Y78" i="37" s="1"/>
  <c r="Y83" i="37" s="1"/>
  <c r="Y72" i="37" l="1"/>
  <c r="AB55" i="37"/>
  <c r="AA82" i="37"/>
  <c r="AA56" i="37"/>
  <c r="AA69" i="37" s="1"/>
  <c r="Z71" i="37"/>
  <c r="Z78" i="37" s="1"/>
  <c r="Z83" i="37" s="1"/>
  <c r="Y86" i="37"/>
  <c r="Y87" i="37" s="1"/>
  <c r="Y90" i="37" s="1"/>
  <c r="Y88" i="37"/>
  <c r="Y84" i="37"/>
  <c r="Y89" i="37" s="1"/>
  <c r="Z86" i="37" l="1"/>
  <c r="Z87" i="37" s="1"/>
  <c r="Z90" i="37" s="1"/>
  <c r="Z88" i="37"/>
  <c r="Z84" i="37"/>
  <c r="Z89" i="37" s="1"/>
  <c r="AA77" i="37"/>
  <c r="AA70" i="37"/>
  <c r="AB82" i="37"/>
  <c r="AB56" i="37"/>
  <c r="AB69" i="37" s="1"/>
  <c r="Z72" i="37"/>
  <c r="AC53" i="37"/>
  <c r="AA71" i="37" l="1"/>
  <c r="AA78" i="37" s="1"/>
  <c r="AA83" i="37" s="1"/>
  <c r="AC55" i="37"/>
  <c r="AD53" i="37" s="1"/>
  <c r="AB77" i="37"/>
  <c r="AB70" i="37"/>
  <c r="AA72" i="37" l="1"/>
  <c r="AA86" i="37"/>
  <c r="AA87" i="37" s="1"/>
  <c r="AA90" i="37" s="1"/>
  <c r="AA88" i="37"/>
  <c r="AA84" i="37"/>
  <c r="AA89" i="37" s="1"/>
  <c r="AB71" i="37"/>
  <c r="AB78" i="37" s="1"/>
  <c r="AB83" i="37" s="1"/>
  <c r="AD55" i="37"/>
  <c r="AE53" i="37" s="1"/>
  <c r="AC82" i="37"/>
  <c r="AC56" i="37"/>
  <c r="AC69" i="37" s="1"/>
  <c r="AB86" i="37" l="1"/>
  <c r="AB87" i="37" s="1"/>
  <c r="AB90" i="37" s="1"/>
  <c r="AB84" i="37"/>
  <c r="AB89" i="37" s="1"/>
  <c r="AB88" i="37"/>
  <c r="AE55" i="37"/>
  <c r="AF53" i="37" s="1"/>
  <c r="AC77" i="37"/>
  <c r="AC70" i="37"/>
  <c r="AB72" i="37"/>
  <c r="AD82" i="37"/>
  <c r="AD56" i="37"/>
  <c r="AD69" i="37" s="1"/>
  <c r="AF55" i="37" l="1"/>
  <c r="AE82" i="37"/>
  <c r="AE56" i="37"/>
  <c r="AE69" i="37" s="1"/>
  <c r="AC71" i="37"/>
  <c r="AC78" i="37" s="1"/>
  <c r="AC83" i="37" s="1"/>
  <c r="AD77" i="37"/>
  <c r="AD70" i="37"/>
  <c r="AC86" i="37" l="1"/>
  <c r="AC87" i="37" s="1"/>
  <c r="AC90" i="37" s="1"/>
  <c r="AC88" i="37"/>
  <c r="AC84" i="37"/>
  <c r="AC89" i="37" s="1"/>
  <c r="AF82" i="37"/>
  <c r="AF56" i="37"/>
  <c r="AF69" i="37" s="1"/>
  <c r="AD71" i="37"/>
  <c r="AD78" i="37" s="1"/>
  <c r="AD83" i="37" s="1"/>
  <c r="AD72" i="37"/>
  <c r="AC72" i="37"/>
  <c r="AE77" i="37"/>
  <c r="AE70" i="37"/>
  <c r="AF77" i="37" l="1"/>
  <c r="AF70" i="37"/>
  <c r="AD86" i="37"/>
  <c r="AD87" i="37" s="1"/>
  <c r="AD90" i="37" s="1"/>
  <c r="AD88" i="37"/>
  <c r="AD84" i="37"/>
  <c r="AD89" i="37" s="1"/>
  <c r="AE71" i="37"/>
  <c r="AE78" i="37" s="1"/>
  <c r="AE83" i="37" s="1"/>
  <c r="AE86" i="37" l="1"/>
  <c r="AE87" i="37" s="1"/>
  <c r="AE90" i="37" s="1"/>
  <c r="AE84" i="37"/>
  <c r="AE89" i="37" s="1"/>
  <c r="AE88" i="37"/>
  <c r="AE72" i="37"/>
  <c r="AF71" i="37"/>
  <c r="AF78" i="37" s="1"/>
  <c r="AF83" i="37" s="1"/>
  <c r="AF86" i="37" l="1"/>
  <c r="AF87" i="37" s="1"/>
  <c r="AF90" i="37" s="1"/>
  <c r="AF84" i="37"/>
  <c r="AF89" i="37" s="1"/>
  <c r="AF88" i="37"/>
  <c r="AF72" i="37"/>
</calcChain>
</file>

<file path=xl/sharedStrings.xml><?xml version="1.0" encoding="utf-8"?>
<sst xmlns="http://schemas.openxmlformats.org/spreadsheetml/2006/main" count="974" uniqueCount="571">
  <si>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</si>
  <si>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</si>
  <si>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</si>
  <si>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</si>
  <si>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</si>
  <si>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</si>
  <si>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</si>
  <si>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</si>
  <si>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</si>
  <si>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</si>
  <si>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</si>
  <si>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</si>
  <si>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</si>
  <si>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</si>
  <si>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</si>
  <si>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</si>
  <si>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</si>
  <si>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</si>
  <si>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</si>
  <si>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</si>
  <si>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</si>
  <si>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</si>
  <si>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</si>
  <si>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</si>
  <si>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</si>
  <si>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</si>
  <si>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</si>
  <si>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</si>
  <si>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</si>
  <si>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</si>
  <si>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</si>
  <si>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</si>
  <si>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</si>
  <si>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</si>
  <si>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</si>
  <si>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</si>
  <si>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</si>
  <si>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</si>
  <si>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</si>
  <si>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</si>
  <si>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</si>
  <si>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</si>
  <si>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</si>
  <si>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</si>
  <si>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</si>
  <si>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</si>
  <si>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</si>
  <si>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</si>
  <si>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</si>
  <si>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</si>
  <si>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</si>
  <si>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</si>
  <si>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</si>
  <si>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</si>
  <si>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</si>
  <si>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</si>
  <si>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</si>
  <si>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</si>
  <si>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</si>
  <si>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</si>
  <si>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</si>
  <si>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</si>
  <si>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</si>
  <si>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</si>
  <si>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</si>
  <si>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</si>
  <si>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</si>
  <si>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</si>
  <si>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</si>
  <si>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</si>
  <si>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</si>
  <si>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</si>
  <si>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</si>
  <si>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</si>
  <si>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</si>
  <si>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</si>
  <si>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</si>
  <si>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</si>
  <si>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</si>
  <si>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</si>
  <si>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</si>
  <si>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</si>
  <si>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</si>
  <si>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</si>
  <si>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</si>
  <si>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</si>
  <si>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</si>
  <si>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</si>
  <si>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</si>
  <si>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</si>
  <si>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</si>
  <si>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</si>
  <si>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</si>
  <si>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</si>
  <si>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</si>
  <si>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</si>
  <si>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</si>
  <si>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</si>
  <si>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</si>
  <si>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</si>
  <si>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</si>
  <si>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</si>
  <si>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</si>
  <si>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</si>
  <si>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</si>
  <si>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</si>
  <si>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</si>
  <si>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</si>
  <si>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</si>
  <si>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</si>
  <si>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</si>
  <si>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</si>
  <si>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</si>
  <si>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</si>
  <si>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</si>
  <si>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</si>
  <si>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</si>
  <si>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</si>
  <si>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</si>
  <si>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</si>
  <si>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</si>
  <si>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</si>
  <si>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</si>
  <si>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</si>
  <si>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</si>
  <si>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</si>
  <si>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</si>
  <si>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</si>
  <si>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</si>
  <si>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</si>
  <si>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</si>
  <si>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</si>
  <si>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</si>
  <si>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</si>
  <si>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</si>
  <si>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</si>
  <si>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</si>
  <si>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</si>
  <si>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</si>
  <si>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</si>
  <si>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</si>
  <si>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</si>
  <si>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</si>
  <si>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</si>
  <si>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</si>
  <si>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</si>
  <si>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</si>
  <si>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</si>
  <si>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</si>
  <si>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</si>
  <si>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</si>
  <si>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</si>
  <si>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</si>
  <si>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</si>
  <si>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</si>
  <si>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</si>
  <si>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</si>
  <si>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</si>
  <si>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</si>
  <si>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</si>
  <si>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</si>
  <si>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</si>
  <si>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</si>
  <si>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</si>
  <si>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</si>
  <si>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</si>
  <si>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</si>
  <si>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</si>
  <si>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</si>
  <si>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</si>
  <si>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</si>
  <si>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</si>
  <si>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</si>
  <si>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</si>
  <si>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</si>
  <si>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</si>
  <si>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</si>
  <si>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</si>
  <si>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</si>
  <si>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</si>
  <si>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</si>
  <si>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</si>
  <si>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</si>
  <si>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</si>
  <si>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</si>
  <si>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</si>
  <si>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</si>
  <si>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</si>
  <si>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</si>
  <si>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</si>
  <si>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</si>
  <si>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</si>
  <si>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</si>
  <si>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</si>
  <si>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</si>
  <si>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</si>
  <si>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</si>
  <si>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</si>
  <si>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</si>
  <si>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</si>
  <si>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</si>
  <si>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</si>
  <si>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</si>
  <si>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</si>
  <si>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</si>
  <si>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</si>
  <si>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</si>
  <si>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</si>
  <si>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</si>
  <si>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</si>
  <si>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</si>
  <si>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</si>
  <si>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</si>
  <si>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</si>
  <si>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</si>
  <si>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</si>
  <si>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</si>
  <si>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</si>
  <si>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</si>
  <si>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</si>
  <si>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</si>
  <si>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</si>
  <si>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</si>
  <si>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</si>
  <si>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</si>
  <si>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</si>
  <si>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</si>
  <si>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</si>
  <si>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</si>
  <si>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</si>
  <si>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</si>
  <si>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</si>
  <si>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</si>
  <si>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</si>
  <si>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</si>
  <si>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</si>
  <si>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</si>
  <si>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</si>
  <si>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</si>
  <si>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</si>
  <si>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</si>
  <si>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</si>
  <si>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</si>
  <si>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</si>
  <si>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</si>
  <si>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</si>
  <si>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</si>
  <si>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</si>
  <si>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</si>
  <si>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</si>
  <si>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</si>
  <si>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</si>
  <si>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</si>
  <si>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</si>
  <si>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</si>
  <si>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</si>
  <si>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</si>
  <si>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</si>
  <si>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</si>
  <si>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</si>
  <si>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</si>
  <si>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</si>
  <si>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</si>
  <si>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</si>
  <si>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</si>
  <si>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</si>
  <si>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</si>
  <si>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</si>
  <si>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</si>
  <si>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</si>
  <si>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</si>
  <si>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</si>
  <si>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</si>
  <si>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</si>
  <si>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</si>
  <si>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</si>
  <si>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</si>
  <si>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</si>
  <si>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</si>
  <si>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</si>
  <si>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</si>
  <si>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</si>
  <si>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</si>
  <si>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</si>
  <si>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</si>
  <si>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</si>
  <si>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</si>
  <si>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</si>
  <si>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</si>
  <si>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</si>
  <si>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</si>
  <si>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</si>
  <si>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</si>
  <si>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</si>
  <si>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</si>
  <si>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</si>
  <si>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</si>
  <si>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</si>
  <si>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</si>
  <si>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</si>
  <si>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</si>
  <si>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</si>
  <si>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</si>
  <si>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</si>
  <si>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</si>
  <si>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</si>
  <si>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</si>
  <si>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</si>
  <si>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</si>
  <si>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</si>
  <si>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</si>
  <si>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</si>
  <si>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</si>
  <si>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</si>
  <si>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</si>
  <si>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</si>
  <si>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</si>
  <si>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</si>
  <si>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</si>
  <si>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</si>
  <si>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</si>
  <si>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</si>
  <si>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</si>
  <si>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</si>
  <si>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</si>
  <si>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</si>
  <si>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</si>
  <si>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</si>
  <si>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</si>
  <si>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</si>
  <si>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</si>
  <si>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</si>
  <si>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</si>
  <si>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</si>
  <si>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</si>
  <si>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</si>
  <si>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</si>
  <si>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</si>
  <si>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</si>
  <si>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</si>
  <si>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</si>
  <si>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</si>
  <si>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</si>
  <si>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</si>
  <si>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</si>
  <si>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</si>
  <si>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</si>
  <si>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</si>
  <si>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</si>
  <si>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</si>
  <si>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</si>
  <si>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</si>
  <si>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</si>
  <si>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</si>
  <si>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</si>
  <si>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</si>
  <si>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</si>
  <si>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</si>
  <si>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</si>
  <si>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</si>
  <si>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</si>
  <si>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</si>
  <si>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</si>
  <si>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</si>
  <si>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</si>
  <si>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</si>
  <si>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</si>
  <si>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</si>
  <si>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</si>
  <si>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</si>
  <si>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</si>
  <si>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</si>
  <si>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</si>
  <si>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</si>
  <si>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</si>
  <si>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</si>
  <si>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</si>
  <si>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</si>
  <si>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</si>
  <si>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</si>
  <si>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</si>
  <si>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</si>
  <si>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</si>
  <si>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</si>
  <si>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</si>
  <si>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</si>
  <si>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</si>
  <si>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</si>
  <si>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</si>
  <si>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</si>
  <si>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</si>
  <si>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</si>
  <si>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</si>
  <si>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</si>
  <si>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</si>
  <si>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</si>
  <si>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</si>
  <si>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</si>
  <si>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</si>
  <si>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</si>
  <si>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</si>
  <si>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</si>
  <si>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</si>
  <si>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</si>
  <si>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</si>
  <si>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</si>
  <si>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</si>
  <si>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</si>
  <si>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</si>
  <si>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</si>
  <si>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</si>
  <si>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</si>
  <si>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</si>
  <si>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</si>
  <si>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</si>
  <si>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</si>
  <si>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</si>
  <si>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</si>
  <si>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</si>
  <si>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</si>
  <si>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</si>
  <si>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</si>
  <si>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</si>
  <si>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</si>
  <si>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</si>
  <si>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</si>
  <si>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</si>
  <si>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</si>
  <si>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</si>
  <si>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</si>
  <si>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</si>
  <si>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</si>
  <si>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</si>
  <si>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</si>
  <si>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</si>
  <si>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</si>
  <si>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</si>
  <si>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</si>
  <si>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</si>
  <si>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</si>
  <si>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</si>
  <si>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</si>
  <si>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</si>
  <si>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</si>
  <si>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</si>
  <si>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</si>
  <si>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</si>
  <si>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</si>
  <si>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</si>
  <si>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</si>
  <si>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</si>
  <si>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</si>
  <si>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</si>
  <si>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</si>
  <si>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</si>
  <si>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</si>
  <si>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</si>
  <si>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</si>
  <si>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</si>
  <si>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</si>
  <si>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</si>
  <si>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</si>
  <si>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</si>
  <si>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</si>
  <si>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</si>
  <si>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</si>
  <si>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</si>
  <si>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</si>
  <si>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</si>
  <si>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</si>
  <si>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</si>
  <si>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</si>
  <si>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</si>
  <si>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</si>
  <si>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</si>
  <si>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</si>
  <si>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</si>
  <si>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</si>
  <si>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</si>
  <si>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</si>
  <si>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</si>
  <si>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</si>
  <si>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</si>
  <si>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</si>
  <si>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</si>
  <si>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</si>
  <si>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</si>
  <si>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</si>
  <si>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</si>
  <si>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</si>
  <si>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</si>
  <si>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</si>
  <si>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</si>
  <si>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</si>
  <si>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</si>
  <si>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</si>
  <si>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</si>
  <si>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</si>
  <si>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</si>
  <si>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</si>
  <si>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</si>
  <si>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</si>
  <si>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</si>
  <si>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</si>
  <si>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</si>
  <si>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</si>
  <si>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</si>
  <si>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</si>
  <si>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</si>
  <si>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</si>
  <si>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</si>
  <si>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</si>
  <si>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</si>
  <si>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</si>
  <si>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</si>
  <si>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</si>
  <si>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</si>
  <si>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 xml:space="preserve">Повышение надежности оказываемых услуг в сфере электроэнергетики. 
</t>
  </si>
  <si>
    <t>ж/б</t>
  </si>
  <si>
    <t>ВЛ 15-82</t>
  </si>
  <si>
    <t>Л2 ТП 82-16</t>
  </si>
  <si>
    <t>Л-1 ТП 82-9</t>
  </si>
  <si>
    <t>34586107 0302161130066</t>
  </si>
  <si>
    <t>34586107 1806160810005</t>
  </si>
  <si>
    <t>3.4.8.5,    4.10</t>
  </si>
  <si>
    <t>3.4.9.3,     4.13</t>
  </si>
  <si>
    <t>34586107 0601172213201</t>
  </si>
  <si>
    <t>3.4.12.2,     4.13</t>
  </si>
  <si>
    <t>34586107 3105180906252</t>
  </si>
  <si>
    <t>34586107 1807181306368</t>
  </si>
  <si>
    <t>34586107 1110180940854</t>
  </si>
  <si>
    <t>34586107 1110181500855</t>
  </si>
  <si>
    <t>34586107 1707181703228</t>
  </si>
  <si>
    <t>34586107 1811181147346</t>
  </si>
  <si>
    <t>3.4.12.2,      4.12</t>
  </si>
  <si>
    <t>3.4.12.2,     4.4</t>
  </si>
  <si>
    <t>Полесский городской округ</t>
  </si>
  <si>
    <t>Акт обследования от 21.10.2019</t>
  </si>
  <si>
    <t>Требуется замена участка ВЛ на КЛ.</t>
  </si>
  <si>
    <t xml:space="preserve">Повышение надежности оказываемых услуг в сфере электроэнергетики DПsaidi=-0,0445751, DПsaifi=-0,000250110
</t>
  </si>
  <si>
    <t>1,495 млн. руб.</t>
  </si>
  <si>
    <t>КВЛ 15-82</t>
  </si>
  <si>
    <t>КВЛ</t>
  </si>
  <si>
    <t>L_19-0964</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</si>
  <si>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</si>
  <si>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L</t>
    </r>
    <r>
      <rPr>
        <vertAlign val="superscript"/>
        <sz val="11"/>
        <color theme="1"/>
        <rFont val="Calibri"/>
        <family val="2"/>
        <charset val="204"/>
        <scheme val="minor"/>
      </rPr>
      <t>15</t>
    </r>
    <r>
      <rPr>
        <sz val="11"/>
        <color theme="1"/>
        <rFont val="Calibri"/>
        <family val="2"/>
        <scheme val="minor"/>
      </rPr>
      <t xml:space="preserve">з_лэп=0,520 км;
</t>
    </r>
    <r>
      <rPr>
        <sz val="11"/>
        <color theme="1"/>
        <rFont val="Calibri"/>
        <family val="2"/>
        <charset val="204"/>
        <scheme val="minor"/>
      </rPr>
      <t xml:space="preserve"> ∆Пsaidi=0,000445751,  ∆Пsaifi=-0,000250110</t>
    </r>
  </si>
  <si>
    <t>оп.18-оп.25</t>
  </si>
  <si>
    <t>31.04.2023</t>
  </si>
  <si>
    <t>2021 год</t>
  </si>
  <si>
    <t>2022 год</t>
  </si>
  <si>
    <t>2023 год</t>
  </si>
  <si>
    <t xml:space="preserve"> по состоянию на 01.01.2020</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</si>
  <si>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</si>
  <si>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</si>
  <si>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</si>
  <si>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0,52 (0,00) км</t>
  </si>
  <si>
    <t>Строительство КЛ 15 кВ взамен существующей ВЛ 15 кВ № 15-82 (инв. № 5114524) протяженностью 0,52 км в Полесском районе</t>
  </si>
  <si>
    <t>Прочее новое строительство объектов электросетевого хозяйства</t>
  </si>
  <si>
    <t>новое строительство</t>
  </si>
  <si>
    <t xml:space="preserve"> Строительство КЛ 15 кВ взамен участка ВЛ 15-82 (протяжённость около 0,520 км) взамен алюминиевого провода  сечением 50 мм2 (марки А-50).
 Монтаж на опорах №№ 18, 27  отключающих пунктов (разъединителей). 
 </t>
  </si>
  <si>
    <t>Акт технического обследования от 21.10.2019 г. - ВЛ 15-82 перегружена, значительно превышен нормативный срок эксплуатации, участок магистрали в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Недостаточное сечение токопроводящих жил. Для выбора сечения КЛ выполнен расчет кабеля на термическую стойкость.
Техническое задание № 3.СЭРС.2019/ЗЭС-21.</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</si>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</sst>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 numFmtId="181" formatCode="_-* #,##0_р_._-;\-* #,##0_р_._-;_-* &quot;-&quot;_р_._-;_-@_-"/>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sz val="10"/>
      <color rgb="FF000000"/>
      <name val="Calibri"/>
      <family val="2"/>
      <charset val="204"/>
    </font>
    <font>
      <vertAlign val="superscript"/>
      <sz val="11"/>
      <color theme="1"/>
      <name val="Calibri"/>
      <family val="2"/>
      <charset val="204"/>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74" fillId="0" borderId="0" applyNumberFormat="0" applyFill="0" applyBorder="0" applyAlignment="0" applyProtection="0"/>
    <xf numFmtId="9" fontId="1" fillId="0" borderId="0" applyFont="0" applyFill="0" applyBorder="0" applyAlignment="0" applyProtection="0"/>
  </cellStyleXfs>
  <cellXfs count="5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42" fillId="0" borderId="0" xfId="50" applyFont="1" applyFill="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68"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1" fillId="0" borderId="0" xfId="67" applyNumberFormat="1" applyFont="1" applyFill="1" applyBorder="1" applyAlignment="1">
      <alignment horizontal="center" vertical="center"/>
    </xf>
    <xf numFmtId="0" fontId="70"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72"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73"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67" fillId="0" borderId="42" xfId="0" applyFont="1" applyBorder="1" applyAlignment="1">
      <alignment horizontal="center"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2" fontId="67" fillId="0" borderId="42" xfId="0" applyNumberFormat="1" applyFont="1" applyBorder="1"/>
    <xf numFmtId="165" fontId="67" fillId="0" borderId="42" xfId="0" applyNumberFormat="1" applyFont="1" applyBorder="1" applyAlignment="1">
      <alignment horizontal="right" vertical="center"/>
    </xf>
    <xf numFmtId="0" fontId="67" fillId="0" borderId="42" xfId="0" applyFont="1" applyFill="1" applyBorder="1" applyAlignment="1">
      <alignment wrapText="1"/>
    </xf>
    <xf numFmtId="0" fontId="75" fillId="31" borderId="42" xfId="77" applyFont="1" applyFill="1" applyBorder="1" applyAlignment="1">
      <alignment horizontal="center" vertical="center" wrapText="1"/>
    </xf>
    <xf numFmtId="0" fontId="75" fillId="31" borderId="42" xfId="77" applyFont="1" applyFill="1" applyBorder="1" applyAlignment="1">
      <alignment horizontal="left" vertical="center" wrapText="1"/>
    </xf>
    <xf numFmtId="1" fontId="67" fillId="0" borderId="42" xfId="0" applyNumberFormat="1" applyFont="1" applyBorder="1"/>
    <xf numFmtId="0" fontId="3" fillId="0" borderId="0" xfId="1" applyFont="1" applyFill="1" applyBorder="1"/>
    <xf numFmtId="0" fontId="7" fillId="0" borderId="0" xfId="0" applyFont="1" applyAlignment="1">
      <alignment vertical="center"/>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49" fontId="7" fillId="0" borderId="43" xfId="1" applyNumberFormat="1" applyFont="1" applyFill="1" applyBorder="1" applyAlignment="1">
      <alignment horizontal="left" vertical="center"/>
    </xf>
    <xf numFmtId="0" fontId="7" fillId="0" borderId="43" xfId="1" applyFont="1" applyBorder="1" applyAlignment="1">
      <alignment horizontal="left" vertical="center" wrapText="1"/>
    </xf>
    <xf numFmtId="0" fontId="7" fillId="0" borderId="42" xfId="1" applyFont="1" applyFill="1" applyBorder="1" applyAlignment="1">
      <alignment horizontal="left" vertical="center" wrapText="1"/>
    </xf>
    <xf numFmtId="49" fontId="7" fillId="0" borderId="1" xfId="1" applyNumberFormat="1" applyFont="1" applyFill="1" applyBorder="1" applyAlignment="1">
      <alignment horizontal="left" vertical="center"/>
    </xf>
    <xf numFmtId="0" fontId="7" fillId="0" borderId="0" xfId="0" applyFont="1" applyFill="1" applyAlignment="1">
      <alignment horizontal="left" vertical="center"/>
    </xf>
    <xf numFmtId="0" fontId="3" fillId="0" borderId="42" xfId="1" applyFont="1" applyFill="1" applyBorder="1" applyAlignment="1">
      <alignment horizontal="left" vertical="center" wrapText="1"/>
    </xf>
    <xf numFmtId="180" fontId="45" fillId="0" borderId="42" xfId="0" applyNumberFormat="1" applyFont="1" applyFill="1" applyBorder="1"/>
    <xf numFmtId="0" fontId="11" fillId="0" borderId="42" xfId="1" applyFont="1" applyBorder="1" applyAlignment="1">
      <alignment horizontal="left" vertical="center" wrapText="1"/>
    </xf>
    <xf numFmtId="0" fontId="7" fillId="0" borderId="42" xfId="2" applyFont="1" applyFill="1" applyBorder="1" applyAlignment="1">
      <alignment horizontal="left" vertical="center" wrapText="1"/>
    </xf>
    <xf numFmtId="0" fontId="7" fillId="0" borderId="43" xfId="62" applyFont="1" applyBorder="1" applyAlignment="1">
      <alignment horizontal="center" vertical="center" wrapText="1"/>
    </xf>
    <xf numFmtId="0" fontId="7" fillId="0" borderId="0" xfId="0" applyFont="1" applyAlignment="1">
      <alignment horizontal="center" vertical="center" wrapText="1"/>
    </xf>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10" fontId="58" fillId="30" borderId="46"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4" xfId="1" applyNumberFormat="1" applyFont="1" applyFill="1" applyBorder="1" applyAlignment="1">
      <alignment horizontal="left" vertical="center"/>
    </xf>
    <xf numFmtId="49" fontId="7" fillId="0" borderId="7" xfId="1" applyNumberFormat="1" applyFont="1" applyFill="1" applyBorder="1" applyAlignment="1">
      <alignment horizontal="left" vertical="center"/>
    </xf>
    <xf numFmtId="49" fontId="7" fillId="0" borderId="3" xfId="1" applyNumberFormat="1" applyFont="1" applyFill="1" applyBorder="1" applyAlignment="1">
      <alignment horizontal="left"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63"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181" fontId="8" fillId="0" borderId="0" xfId="1" applyNumberFormat="1" applyFont="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42" fillId="0" borderId="42" xfId="2" applyFont="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7" fillId="0" borderId="0" xfId="1" applyFont="1" applyAlignment="1">
      <alignment horizontal="center" vertical="center"/>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898-4259-9206-F95C3BB5CBFC}"/>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898-4259-9206-F95C3BB5CBFC}"/>
            </c:ext>
          </c:extLst>
        </c:ser>
        <c:dLbls>
          <c:showLegendKey val="0"/>
          <c:showVal val="0"/>
          <c:showCatName val="0"/>
          <c:showSerName val="0"/>
          <c:showPercent val="0"/>
          <c:showBubbleSize val="0"/>
        </c:dLbls>
        <c:smooth val="0"/>
        <c:axId val="591925080"/>
        <c:axId val="591919984"/>
      </c:lineChart>
      <c:catAx>
        <c:axId val="591925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1919984"/>
        <c:crosses val="autoZero"/>
        <c:auto val="1"/>
        <c:lblAlgn val="ctr"/>
        <c:lblOffset val="100"/>
        <c:noMultiLvlLbl val="0"/>
      </c:catAx>
      <c:valAx>
        <c:axId val="591919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19250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B5D3-44D6-9E7B-A1C0AED97132}"/>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B5D3-44D6-9E7B-A1C0AED97132}"/>
            </c:ext>
          </c:extLst>
        </c:ser>
        <c:dLbls>
          <c:showLegendKey val="0"/>
          <c:showVal val="0"/>
          <c:showCatName val="0"/>
          <c:showSerName val="0"/>
          <c:showPercent val="0"/>
          <c:showBubbleSize val="0"/>
        </c:dLbls>
        <c:smooth val="0"/>
        <c:axId val="539034088"/>
        <c:axId val="539034872"/>
      </c:lineChart>
      <c:catAx>
        <c:axId val="53903408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9034872"/>
        <c:crosses val="autoZero"/>
        <c:auto val="1"/>
        <c:lblAlgn val="ctr"/>
        <c:lblOffset val="100"/>
        <c:noMultiLvlLbl val="0"/>
      </c:catAx>
      <c:valAx>
        <c:axId val="5390348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9034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80" zoomScaleSheetLayoutView="8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81" t="s">
        <v>568</v>
      </c>
      <c r="B5" s="381"/>
      <c r="C5" s="381"/>
      <c r="D5" s="100"/>
      <c r="E5" s="100"/>
      <c r="F5" s="100"/>
      <c r="G5" s="100"/>
      <c r="H5" s="100"/>
      <c r="I5" s="100"/>
      <c r="J5" s="100"/>
    </row>
    <row r="6" spans="1:22" s="10" customFormat="1" ht="18.75" x14ac:dyDescent="0.3">
      <c r="A6" s="131"/>
      <c r="B6" s="14"/>
      <c r="C6" s="14"/>
      <c r="F6" s="14"/>
      <c r="G6" s="14"/>
      <c r="H6" s="13"/>
    </row>
    <row r="7" spans="1:22" s="10" customFormat="1" ht="18.75" x14ac:dyDescent="0.2">
      <c r="A7" s="383" t="s">
        <v>6</v>
      </c>
      <c r="B7" s="383"/>
      <c r="C7" s="383"/>
      <c r="D7" s="11"/>
      <c r="E7" s="11"/>
      <c r="F7" s="11"/>
      <c r="G7" s="11"/>
      <c r="H7" s="11"/>
      <c r="I7" s="11"/>
      <c r="J7" s="11"/>
      <c r="K7" s="11"/>
      <c r="L7" s="11"/>
      <c r="M7" s="11"/>
      <c r="N7" s="11"/>
      <c r="O7" s="11"/>
      <c r="P7" s="11"/>
      <c r="Q7" s="11"/>
      <c r="R7" s="11"/>
      <c r="S7" s="11"/>
      <c r="T7" s="11"/>
      <c r="U7" s="11"/>
      <c r="V7" s="11"/>
    </row>
    <row r="8" spans="1:22" s="10" customFormat="1" ht="18.75" x14ac:dyDescent="0.2">
      <c r="A8" s="132"/>
      <c r="B8" s="132"/>
      <c r="C8" s="132"/>
      <c r="D8" s="12"/>
      <c r="E8" s="12"/>
      <c r="F8" s="12"/>
      <c r="G8" s="12"/>
      <c r="H8" s="12"/>
      <c r="I8" s="11"/>
      <c r="J8" s="11"/>
      <c r="K8" s="11"/>
      <c r="L8" s="11"/>
      <c r="M8" s="11"/>
      <c r="N8" s="11"/>
      <c r="O8" s="11"/>
      <c r="P8" s="11"/>
      <c r="Q8" s="11"/>
      <c r="R8" s="11"/>
      <c r="S8" s="11"/>
      <c r="T8" s="11"/>
      <c r="U8" s="11"/>
      <c r="V8" s="11"/>
    </row>
    <row r="9" spans="1:22" s="10" customFormat="1" ht="18.75" x14ac:dyDescent="0.2">
      <c r="A9" s="384" t="s">
        <v>564</v>
      </c>
      <c r="B9" s="384"/>
      <c r="C9" s="384"/>
      <c r="D9" s="6"/>
      <c r="E9" s="6"/>
      <c r="F9" s="6"/>
      <c r="G9" s="6"/>
      <c r="H9" s="6"/>
      <c r="I9" s="11"/>
      <c r="J9" s="11"/>
      <c r="K9" s="11"/>
      <c r="L9" s="11"/>
      <c r="M9" s="11"/>
      <c r="N9" s="11"/>
      <c r="O9" s="11"/>
      <c r="P9" s="11"/>
      <c r="Q9" s="11"/>
      <c r="R9" s="11"/>
      <c r="S9" s="11"/>
      <c r="T9" s="11"/>
      <c r="U9" s="11"/>
      <c r="V9" s="11"/>
    </row>
    <row r="10" spans="1:22" s="10" customFormat="1" ht="18.75" x14ac:dyDescent="0.2">
      <c r="A10" s="378" t="s">
        <v>5</v>
      </c>
      <c r="B10" s="378"/>
      <c r="C10" s="37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5" t="s">
        <v>543</v>
      </c>
      <c r="B12" s="385"/>
      <c r="C12" s="385"/>
      <c r="D12" s="6"/>
      <c r="E12" s="6"/>
      <c r="F12" s="6"/>
      <c r="G12" s="6"/>
      <c r="H12" s="6"/>
      <c r="I12" s="11"/>
      <c r="J12" s="11"/>
      <c r="K12" s="11"/>
      <c r="L12" s="11"/>
      <c r="M12" s="11"/>
      <c r="N12" s="11"/>
      <c r="O12" s="11"/>
      <c r="P12" s="11"/>
      <c r="Q12" s="11"/>
      <c r="R12" s="11"/>
      <c r="S12" s="11"/>
      <c r="T12" s="11"/>
      <c r="U12" s="11"/>
      <c r="V12" s="11"/>
    </row>
    <row r="13" spans="1:22" s="10" customFormat="1" ht="18.75" x14ac:dyDescent="0.2">
      <c r="A13" s="378" t="s">
        <v>4</v>
      </c>
      <c r="B13" s="378"/>
      <c r="C13" s="37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0.25" customHeight="1" x14ac:dyDescent="0.2">
      <c r="A15" s="382" t="s">
        <v>556</v>
      </c>
      <c r="B15" s="382"/>
      <c r="C15" s="382"/>
      <c r="D15" s="6"/>
      <c r="E15" s="6"/>
      <c r="F15" s="6"/>
      <c r="G15" s="6"/>
      <c r="H15" s="6"/>
      <c r="I15" s="6"/>
      <c r="J15" s="6"/>
      <c r="K15" s="6"/>
      <c r="L15" s="6"/>
      <c r="M15" s="6"/>
      <c r="N15" s="6"/>
      <c r="O15" s="6"/>
      <c r="P15" s="6"/>
      <c r="Q15" s="6"/>
      <c r="R15" s="6"/>
      <c r="S15" s="6"/>
      <c r="T15" s="6"/>
      <c r="U15" s="6"/>
      <c r="V15" s="6"/>
    </row>
    <row r="16" spans="1:22" s="2" customFormat="1" ht="15" customHeight="1" x14ac:dyDescent="0.2">
      <c r="A16" s="378" t="s">
        <v>3</v>
      </c>
      <c r="B16" s="378"/>
      <c r="C16" s="37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9" t="s">
        <v>382</v>
      </c>
      <c r="B18" s="380"/>
      <c r="C18" s="3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21" t="s">
        <v>61</v>
      </c>
      <c r="B22" s="322" t="s">
        <v>265</v>
      </c>
      <c r="C22" s="323" t="s">
        <v>557</v>
      </c>
      <c r="D22" s="27"/>
      <c r="E22" s="27"/>
      <c r="F22" s="27"/>
      <c r="G22" s="27"/>
      <c r="H22" s="27"/>
      <c r="I22" s="26"/>
      <c r="J22" s="26"/>
      <c r="K22" s="26"/>
      <c r="L22" s="26"/>
      <c r="M22" s="26"/>
      <c r="N22" s="26"/>
      <c r="O22" s="26"/>
      <c r="P22" s="26"/>
      <c r="Q22" s="26"/>
      <c r="R22" s="26"/>
      <c r="S22" s="26"/>
      <c r="T22" s="25"/>
      <c r="U22" s="25"/>
      <c r="V22" s="25"/>
    </row>
    <row r="23" spans="1:22" s="2" customFormat="1" ht="63" x14ac:dyDescent="0.2">
      <c r="A23" s="321" t="s">
        <v>60</v>
      </c>
      <c r="B23" s="322" t="s">
        <v>409</v>
      </c>
      <c r="C23" s="323" t="s">
        <v>544</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72"/>
      <c r="B24" s="373"/>
      <c r="C24" s="374"/>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324" t="s">
        <v>59</v>
      </c>
      <c r="B25" s="97" t="s">
        <v>331</v>
      </c>
      <c r="C25" s="97"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324" t="s">
        <v>58</v>
      </c>
      <c r="B26" s="97" t="s">
        <v>71</v>
      </c>
      <c r="C26" s="97"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324" t="s">
        <v>56</v>
      </c>
      <c r="B27" s="97" t="s">
        <v>70</v>
      </c>
      <c r="C27" s="325" t="s">
        <v>536</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324" t="s">
        <v>55</v>
      </c>
      <c r="B28" s="97" t="s">
        <v>332</v>
      </c>
      <c r="C28" s="97" t="s">
        <v>413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324" t="s">
        <v>53</v>
      </c>
      <c r="B29" s="97" t="s">
        <v>333</v>
      </c>
      <c r="C29" s="97" t="s">
        <v>413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324" t="s">
        <v>51</v>
      </c>
      <c r="B30" s="97" t="s">
        <v>334</v>
      </c>
      <c r="C30" s="97" t="s">
        <v>413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324" t="s">
        <v>69</v>
      </c>
      <c r="B31" s="97" t="s">
        <v>335</v>
      </c>
      <c r="C31" s="97" t="s">
        <v>411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324" t="s">
        <v>67</v>
      </c>
      <c r="B32" s="97" t="s">
        <v>336</v>
      </c>
      <c r="C32" s="97" t="s">
        <v>413</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324" t="s">
        <v>66</v>
      </c>
      <c r="B33" s="97" t="s">
        <v>337</v>
      </c>
      <c r="C33" s="323" t="s">
        <v>513</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324" t="s">
        <v>351</v>
      </c>
      <c r="B34" s="97" t="s">
        <v>338</v>
      </c>
      <c r="C34" s="97" t="s">
        <v>413</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24" t="s">
        <v>341</v>
      </c>
      <c r="B35" s="97" t="s">
        <v>68</v>
      </c>
      <c r="C35" s="97"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24" t="s">
        <v>352</v>
      </c>
      <c r="B36" s="97" t="s">
        <v>339</v>
      </c>
      <c r="C36" s="97"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24" t="s">
        <v>342</v>
      </c>
      <c r="B37" s="97" t="s">
        <v>340</v>
      </c>
      <c r="C37" s="97" t="s">
        <v>410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24" t="s">
        <v>353</v>
      </c>
      <c r="B38" s="97" t="s">
        <v>203</v>
      </c>
      <c r="C38" s="97" t="s">
        <v>413</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75"/>
      <c r="B39" s="376"/>
      <c r="C39" s="377"/>
      <c r="D39" s="21"/>
      <c r="E39" s="21"/>
      <c r="F39" s="21"/>
      <c r="G39" s="21"/>
      <c r="H39" s="21"/>
      <c r="I39" s="21"/>
      <c r="J39" s="21"/>
      <c r="K39" s="21"/>
      <c r="L39" s="21"/>
      <c r="M39" s="21"/>
      <c r="N39" s="21"/>
      <c r="O39" s="21"/>
      <c r="P39" s="21"/>
      <c r="Q39" s="21"/>
      <c r="R39" s="21"/>
      <c r="S39" s="21"/>
      <c r="T39" s="21"/>
      <c r="U39" s="21"/>
      <c r="V39" s="21"/>
    </row>
    <row r="40" spans="1:22" ht="63" x14ac:dyDescent="0.25">
      <c r="A40" s="324" t="s">
        <v>343</v>
      </c>
      <c r="B40" s="97" t="s">
        <v>394</v>
      </c>
      <c r="C40" s="326" t="s">
        <v>545</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24" t="s">
        <v>354</v>
      </c>
      <c r="B41" s="97" t="s">
        <v>377</v>
      </c>
      <c r="C41" s="323" t="s">
        <v>410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24" t="s">
        <v>344</v>
      </c>
      <c r="B42" s="97" t="s">
        <v>391</v>
      </c>
      <c r="C42" s="323" t="s">
        <v>410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24" t="s">
        <v>357</v>
      </c>
      <c r="B43" s="97" t="s">
        <v>358</v>
      </c>
      <c r="C43" s="97" t="s">
        <v>451</v>
      </c>
      <c r="D43" s="21"/>
      <c r="E43" s="21"/>
      <c r="F43" s="21"/>
      <c r="G43" s="21"/>
      <c r="H43" s="21"/>
      <c r="I43" s="21"/>
      <c r="J43" s="21"/>
      <c r="K43" s="21"/>
      <c r="L43" s="21"/>
      <c r="M43" s="21"/>
      <c r="N43" s="21"/>
      <c r="O43" s="21"/>
      <c r="P43" s="21"/>
      <c r="Q43" s="21"/>
      <c r="R43" s="21"/>
      <c r="S43" s="21"/>
      <c r="T43" s="21"/>
      <c r="U43" s="21"/>
      <c r="V43" s="21"/>
    </row>
    <row r="44" spans="1:22" ht="94.5" x14ac:dyDescent="0.25">
      <c r="A44" s="324" t="s">
        <v>345</v>
      </c>
      <c r="B44" s="97" t="s">
        <v>383</v>
      </c>
      <c r="C44" s="97"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324" t="s">
        <v>378</v>
      </c>
      <c r="B45" s="97" t="s">
        <v>384</v>
      </c>
      <c r="C45" s="97" t="s">
        <v>451</v>
      </c>
      <c r="D45" s="21"/>
      <c r="E45" s="21"/>
      <c r="F45" s="21"/>
      <c r="G45" s="21"/>
      <c r="H45" s="21"/>
      <c r="I45" s="21"/>
      <c r="J45" s="21"/>
      <c r="K45" s="21"/>
      <c r="L45" s="21"/>
      <c r="M45" s="21"/>
      <c r="N45" s="21"/>
      <c r="O45" s="21"/>
      <c r="P45" s="21"/>
      <c r="Q45" s="21"/>
      <c r="R45" s="21"/>
      <c r="S45" s="21"/>
      <c r="T45" s="21"/>
      <c r="U45" s="21"/>
      <c r="V45" s="21"/>
    </row>
    <row r="46" spans="1:22" ht="94.5" x14ac:dyDescent="0.25">
      <c r="A46" s="324" t="s">
        <v>346</v>
      </c>
      <c r="B46" s="97" t="s">
        <v>385</v>
      </c>
      <c r="C46" s="97"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75"/>
      <c r="B47" s="376"/>
      <c r="C47" s="377"/>
      <c r="D47" s="21"/>
      <c r="E47" s="21"/>
      <c r="F47" s="21"/>
      <c r="G47" s="21"/>
      <c r="H47" s="21"/>
      <c r="I47" s="21"/>
      <c r="J47" s="21"/>
      <c r="K47" s="21"/>
      <c r="L47" s="21"/>
      <c r="M47" s="21"/>
      <c r="N47" s="21"/>
      <c r="O47" s="21"/>
      <c r="P47" s="21"/>
      <c r="Q47" s="21"/>
      <c r="R47" s="21"/>
      <c r="S47" s="21"/>
      <c r="T47" s="21"/>
      <c r="U47" s="21"/>
      <c r="V47" s="21"/>
    </row>
    <row r="48" spans="1:22" ht="75.75" customHeight="1" x14ac:dyDescent="0.25">
      <c r="A48" s="324" t="s">
        <v>379</v>
      </c>
      <c r="B48" s="97" t="s">
        <v>392</v>
      </c>
      <c r="C48" s="327"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24" t="s">
        <v>347</v>
      </c>
      <c r="B49" s="97" t="s">
        <v>393</v>
      </c>
      <c r="C49" s="327"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310"/>
      <c r="B50" s="310"/>
      <c r="C50" s="310"/>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4">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23">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T22" sqref="T22"/>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22" width="9.140625" style="50"/>
    <col min="23" max="23" width="11" style="50" bestFit="1" customWidth="1"/>
    <col min="24" max="16384" width="9.140625" style="50"/>
  </cols>
  <sheetData>
    <row r="1" spans="1:21" ht="18.75" x14ac:dyDescent="0.25">
      <c r="A1" s="51"/>
      <c r="B1" s="51"/>
      <c r="C1" s="51"/>
      <c r="D1" s="51"/>
      <c r="E1" s="51"/>
      <c r="F1" s="51"/>
      <c r="U1" s="35" t="s">
        <v>65</v>
      </c>
    </row>
    <row r="2" spans="1:21" ht="18.75" x14ac:dyDescent="0.3">
      <c r="A2" s="51"/>
      <c r="B2" s="51"/>
      <c r="C2" s="51"/>
      <c r="D2" s="51"/>
      <c r="E2" s="51"/>
      <c r="F2" s="51"/>
      <c r="U2" s="13" t="s">
        <v>7</v>
      </c>
    </row>
    <row r="3" spans="1:21" ht="18.75" x14ac:dyDescent="0.3">
      <c r="A3" s="51"/>
      <c r="B3" s="51"/>
      <c r="C3" s="51"/>
      <c r="D3" s="51"/>
      <c r="E3" s="51"/>
      <c r="F3" s="51"/>
      <c r="U3" s="13" t="s">
        <v>64</v>
      </c>
    </row>
    <row r="4" spans="1:21" ht="18.75" customHeight="1" x14ac:dyDescent="0.25">
      <c r="A4" s="381" t="str">
        <f>'6.1. Паспорт сетевой график'!A5:K5</f>
        <v>Год раскрытия информации: 2023 год</v>
      </c>
      <c r="B4" s="381"/>
      <c r="C4" s="381"/>
      <c r="D4" s="381"/>
      <c r="E4" s="381"/>
      <c r="F4" s="381"/>
      <c r="G4" s="381"/>
      <c r="H4" s="381"/>
      <c r="I4" s="381"/>
      <c r="J4" s="381"/>
      <c r="K4" s="381"/>
      <c r="L4" s="381"/>
      <c r="M4" s="381"/>
      <c r="N4" s="381"/>
      <c r="O4" s="381"/>
      <c r="P4" s="381"/>
      <c r="Q4" s="381"/>
      <c r="R4" s="381"/>
      <c r="S4" s="381"/>
      <c r="T4" s="381"/>
      <c r="U4" s="381"/>
    </row>
    <row r="5" spans="1:21" ht="18.75" x14ac:dyDescent="0.3">
      <c r="A5" s="51"/>
      <c r="B5" s="51"/>
      <c r="C5" s="51"/>
      <c r="D5" s="51"/>
      <c r="E5" s="51"/>
      <c r="F5" s="51"/>
      <c r="U5" s="13"/>
    </row>
    <row r="6" spans="1:21" ht="18.75" x14ac:dyDescent="0.25">
      <c r="A6" s="390" t="s">
        <v>6</v>
      </c>
      <c r="B6" s="390"/>
      <c r="C6" s="390"/>
      <c r="D6" s="390"/>
      <c r="E6" s="390"/>
      <c r="F6" s="390"/>
      <c r="G6" s="390"/>
      <c r="H6" s="390"/>
      <c r="I6" s="390"/>
      <c r="J6" s="390"/>
      <c r="K6" s="390"/>
      <c r="L6" s="390"/>
      <c r="M6" s="390"/>
      <c r="N6" s="390"/>
      <c r="O6" s="390"/>
      <c r="P6" s="390"/>
      <c r="Q6" s="390"/>
      <c r="R6" s="390"/>
      <c r="S6" s="390"/>
      <c r="T6" s="390"/>
      <c r="U6" s="390"/>
    </row>
    <row r="7" spans="1:21" ht="18.75" x14ac:dyDescent="0.25">
      <c r="A7" s="136"/>
      <c r="B7" s="136"/>
      <c r="C7" s="136"/>
      <c r="D7" s="136"/>
      <c r="E7" s="136"/>
      <c r="F7" s="136"/>
      <c r="G7" s="136"/>
      <c r="H7" s="136"/>
      <c r="I7" s="136"/>
      <c r="J7" s="136"/>
      <c r="K7" s="136"/>
      <c r="L7" s="136"/>
      <c r="M7" s="136"/>
      <c r="N7" s="136"/>
      <c r="O7" s="136"/>
      <c r="P7" s="136"/>
      <c r="Q7" s="136"/>
      <c r="R7" s="136"/>
      <c r="S7" s="136"/>
      <c r="T7" s="226"/>
      <c r="U7" s="226"/>
    </row>
    <row r="8" spans="1:21" x14ac:dyDescent="0.25">
      <c r="A8" s="391" t="str">
        <f>'6.1. Паспорт сетевой график'!A9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391"/>
      <c r="U8" s="391"/>
    </row>
    <row r="9" spans="1:21" ht="18.75" customHeight="1" x14ac:dyDescent="0.25">
      <c r="A9" s="387" t="s">
        <v>5</v>
      </c>
      <c r="B9" s="387"/>
      <c r="C9" s="387"/>
      <c r="D9" s="387"/>
      <c r="E9" s="387"/>
      <c r="F9" s="387"/>
      <c r="G9" s="387"/>
      <c r="H9" s="387"/>
      <c r="I9" s="387"/>
      <c r="J9" s="387"/>
      <c r="K9" s="387"/>
      <c r="L9" s="387"/>
      <c r="M9" s="387"/>
      <c r="N9" s="387"/>
      <c r="O9" s="387"/>
      <c r="P9" s="387"/>
      <c r="Q9" s="387"/>
      <c r="R9" s="387"/>
      <c r="S9" s="387"/>
      <c r="T9" s="387"/>
      <c r="U9" s="387"/>
    </row>
    <row r="10" spans="1:21" ht="18.75" x14ac:dyDescent="0.25">
      <c r="A10" s="136"/>
      <c r="B10" s="136"/>
      <c r="C10" s="136"/>
      <c r="D10" s="136"/>
      <c r="E10" s="136"/>
      <c r="F10" s="136"/>
      <c r="G10" s="136"/>
      <c r="H10" s="136"/>
      <c r="I10" s="136"/>
      <c r="J10" s="136"/>
      <c r="K10" s="136"/>
      <c r="L10" s="136"/>
      <c r="M10" s="136"/>
      <c r="N10" s="136"/>
      <c r="O10" s="136"/>
      <c r="P10" s="136"/>
      <c r="Q10" s="136"/>
      <c r="R10" s="136"/>
      <c r="S10" s="136"/>
      <c r="T10" s="226"/>
      <c r="U10" s="226"/>
    </row>
    <row r="11" spans="1:21" x14ac:dyDescent="0.25">
      <c r="A11" s="391" t="str">
        <f>'6.1. Паспорт сетевой график'!A12</f>
        <v>L_19-0964</v>
      </c>
      <c r="B11" s="391"/>
      <c r="C11" s="391"/>
      <c r="D11" s="391"/>
      <c r="E11" s="391"/>
      <c r="F11" s="391"/>
      <c r="G11" s="391"/>
      <c r="H11" s="391"/>
      <c r="I11" s="391"/>
      <c r="J11" s="391"/>
      <c r="K11" s="391"/>
      <c r="L11" s="391"/>
      <c r="M11" s="391"/>
      <c r="N11" s="391"/>
      <c r="O11" s="391"/>
      <c r="P11" s="391"/>
      <c r="Q11" s="391"/>
      <c r="R11" s="391"/>
      <c r="S11" s="391"/>
      <c r="T11" s="391"/>
      <c r="U11" s="391"/>
    </row>
    <row r="12" spans="1:21" x14ac:dyDescent="0.25">
      <c r="A12" s="387" t="s">
        <v>4</v>
      </c>
      <c r="B12" s="387"/>
      <c r="C12" s="387"/>
      <c r="D12" s="387"/>
      <c r="E12" s="387"/>
      <c r="F12" s="387"/>
      <c r="G12" s="387"/>
      <c r="H12" s="387"/>
      <c r="I12" s="387"/>
      <c r="J12" s="387"/>
      <c r="K12" s="387"/>
      <c r="L12" s="387"/>
      <c r="M12" s="387"/>
      <c r="N12" s="387"/>
      <c r="O12" s="387"/>
      <c r="P12" s="387"/>
      <c r="Q12" s="387"/>
      <c r="R12" s="387"/>
      <c r="S12" s="387"/>
      <c r="T12" s="387"/>
      <c r="U12" s="387"/>
    </row>
    <row r="13" spans="1:21" ht="16.5" customHeight="1" x14ac:dyDescent="0.3">
      <c r="A13" s="227"/>
      <c r="B13" s="227"/>
      <c r="C13" s="227"/>
      <c r="D13" s="227"/>
      <c r="E13" s="227"/>
      <c r="F13" s="227"/>
      <c r="G13" s="227"/>
      <c r="H13" s="227"/>
      <c r="I13" s="227"/>
      <c r="J13" s="227"/>
      <c r="K13" s="227"/>
      <c r="L13" s="227"/>
      <c r="M13" s="227"/>
      <c r="N13" s="227"/>
      <c r="O13" s="227"/>
      <c r="P13" s="227"/>
      <c r="Q13" s="227"/>
      <c r="R13" s="227"/>
      <c r="S13" s="227"/>
      <c r="T13" s="60"/>
      <c r="U13" s="60"/>
    </row>
    <row r="14" spans="1:21" ht="36" customHeight="1" x14ac:dyDescent="0.25">
      <c r="A14" s="386" t="str">
        <f>'6.1. Паспорт сетевой график'!A15</f>
        <v>Строительство КЛ 15 кВ взамен существующей ВЛ 15 кВ № 15-82 (инв. № 5114524) протяженностью 0,52 км в Полесском районе</v>
      </c>
      <c r="B14" s="386"/>
      <c r="C14" s="386"/>
      <c r="D14" s="386"/>
      <c r="E14" s="386"/>
      <c r="F14" s="386"/>
      <c r="G14" s="386"/>
      <c r="H14" s="386"/>
      <c r="I14" s="386"/>
      <c r="J14" s="386"/>
      <c r="K14" s="386"/>
      <c r="L14" s="386"/>
      <c r="M14" s="386"/>
      <c r="N14" s="386"/>
      <c r="O14" s="386"/>
      <c r="P14" s="386"/>
      <c r="Q14" s="386"/>
      <c r="R14" s="386"/>
      <c r="S14" s="386"/>
      <c r="T14" s="386"/>
      <c r="U14" s="386"/>
    </row>
    <row r="15" spans="1:21" ht="15.75" customHeight="1" x14ac:dyDescent="0.25">
      <c r="A15" s="387" t="s">
        <v>3</v>
      </c>
      <c r="B15" s="387"/>
      <c r="C15" s="387"/>
      <c r="D15" s="387"/>
      <c r="E15" s="387"/>
      <c r="F15" s="387"/>
      <c r="G15" s="387"/>
      <c r="H15" s="387"/>
      <c r="I15" s="387"/>
      <c r="J15" s="387"/>
      <c r="K15" s="387"/>
      <c r="L15" s="387"/>
      <c r="M15" s="387"/>
      <c r="N15" s="387"/>
      <c r="O15" s="387"/>
      <c r="P15" s="387"/>
      <c r="Q15" s="387"/>
      <c r="R15" s="387"/>
      <c r="S15" s="387"/>
      <c r="T15" s="387"/>
      <c r="U15" s="387"/>
    </row>
    <row r="16" spans="1:21" x14ac:dyDescent="0.25">
      <c r="A16" s="466"/>
      <c r="B16" s="466"/>
      <c r="C16" s="466"/>
      <c r="D16" s="466"/>
      <c r="E16" s="466"/>
      <c r="F16" s="466"/>
      <c r="G16" s="466"/>
      <c r="H16" s="466"/>
      <c r="I16" s="466"/>
      <c r="J16" s="466"/>
      <c r="K16" s="466"/>
      <c r="L16" s="466"/>
      <c r="M16" s="466"/>
      <c r="N16" s="466"/>
      <c r="O16" s="466"/>
      <c r="P16" s="466"/>
      <c r="Q16" s="466"/>
      <c r="R16" s="466"/>
      <c r="S16" s="466"/>
      <c r="T16" s="466"/>
      <c r="U16" s="466"/>
    </row>
    <row r="17" spans="1:24" x14ac:dyDescent="0.25">
      <c r="A17" s="51"/>
      <c r="T17" s="51"/>
    </row>
    <row r="18" spans="1:24" x14ac:dyDescent="0.25">
      <c r="A18" s="467" t="s">
        <v>367</v>
      </c>
      <c r="B18" s="467"/>
      <c r="C18" s="467"/>
      <c r="D18" s="467"/>
      <c r="E18" s="467"/>
      <c r="F18" s="467"/>
      <c r="G18" s="467"/>
      <c r="H18" s="467"/>
      <c r="I18" s="467"/>
      <c r="J18" s="467"/>
      <c r="K18" s="467"/>
      <c r="L18" s="467"/>
      <c r="M18" s="467"/>
      <c r="N18" s="467"/>
      <c r="O18" s="467"/>
      <c r="P18" s="467"/>
      <c r="Q18" s="467"/>
      <c r="R18" s="467"/>
      <c r="S18" s="467"/>
      <c r="T18" s="467"/>
      <c r="U18" s="467"/>
    </row>
    <row r="19" spans="1:24" x14ac:dyDescent="0.25">
      <c r="A19" s="51"/>
      <c r="B19" s="51"/>
      <c r="C19" s="51"/>
      <c r="D19" s="51"/>
      <c r="E19" s="51"/>
      <c r="F19" s="51"/>
      <c r="T19" s="51"/>
    </row>
    <row r="20" spans="1:24" ht="33" customHeight="1" x14ac:dyDescent="0.25">
      <c r="A20" s="461" t="s">
        <v>181</v>
      </c>
      <c r="B20" s="461" t="s">
        <v>180</v>
      </c>
      <c r="C20" s="454" t="s">
        <v>179</v>
      </c>
      <c r="D20" s="454"/>
      <c r="E20" s="469" t="s">
        <v>178</v>
      </c>
      <c r="F20" s="469"/>
      <c r="G20" s="470" t="s">
        <v>563</v>
      </c>
      <c r="H20" s="464" t="s">
        <v>548</v>
      </c>
      <c r="I20" s="465"/>
      <c r="J20" s="465"/>
      <c r="K20" s="465"/>
      <c r="L20" s="464" t="s">
        <v>549</v>
      </c>
      <c r="M20" s="465"/>
      <c r="N20" s="465"/>
      <c r="O20" s="465"/>
      <c r="P20" s="464" t="s">
        <v>550</v>
      </c>
      <c r="Q20" s="465"/>
      <c r="R20" s="465"/>
      <c r="S20" s="465"/>
      <c r="T20" s="468" t="s">
        <v>177</v>
      </c>
      <c r="U20" s="468"/>
      <c r="V20" s="59"/>
      <c r="W20" s="59"/>
      <c r="X20" s="59"/>
    </row>
    <row r="21" spans="1:24" ht="99.75" customHeight="1" x14ac:dyDescent="0.25">
      <c r="A21" s="462"/>
      <c r="B21" s="462"/>
      <c r="C21" s="454"/>
      <c r="D21" s="454"/>
      <c r="E21" s="469"/>
      <c r="F21" s="469"/>
      <c r="G21" s="471"/>
      <c r="H21" s="454" t="s">
        <v>1</v>
      </c>
      <c r="I21" s="454"/>
      <c r="J21" s="454" t="s">
        <v>8</v>
      </c>
      <c r="K21" s="454"/>
      <c r="L21" s="454" t="s">
        <v>1</v>
      </c>
      <c r="M21" s="454"/>
      <c r="N21" s="454" t="s">
        <v>8</v>
      </c>
      <c r="O21" s="454"/>
      <c r="P21" s="454" t="s">
        <v>1</v>
      </c>
      <c r="Q21" s="454"/>
      <c r="R21" s="454" t="s">
        <v>8</v>
      </c>
      <c r="S21" s="454"/>
      <c r="T21" s="468"/>
      <c r="U21" s="468"/>
    </row>
    <row r="22" spans="1:24" ht="89.25" customHeight="1" x14ac:dyDescent="0.25">
      <c r="A22" s="463"/>
      <c r="B22" s="463"/>
      <c r="C22" s="370" t="s">
        <v>1</v>
      </c>
      <c r="D22" s="370" t="s">
        <v>176</v>
      </c>
      <c r="E22" s="228" t="s">
        <v>551</v>
      </c>
      <c r="F22" s="228" t="s">
        <v>570</v>
      </c>
      <c r="G22" s="472"/>
      <c r="H22" s="229" t="s">
        <v>348</v>
      </c>
      <c r="I22" s="229" t="s">
        <v>349</v>
      </c>
      <c r="J22" s="229" t="s">
        <v>348</v>
      </c>
      <c r="K22" s="229" t="s">
        <v>349</v>
      </c>
      <c r="L22" s="229" t="s">
        <v>348</v>
      </c>
      <c r="M22" s="229" t="s">
        <v>349</v>
      </c>
      <c r="N22" s="229" t="s">
        <v>348</v>
      </c>
      <c r="O22" s="229" t="s">
        <v>349</v>
      </c>
      <c r="P22" s="229" t="s">
        <v>348</v>
      </c>
      <c r="Q22" s="229" t="s">
        <v>349</v>
      </c>
      <c r="R22" s="229" t="s">
        <v>348</v>
      </c>
      <c r="S22" s="229" t="s">
        <v>349</v>
      </c>
      <c r="T22" s="315" t="s">
        <v>1</v>
      </c>
      <c r="U22" s="315" t="s">
        <v>8</v>
      </c>
    </row>
    <row r="23" spans="1:24" ht="19.5" customHeight="1" x14ac:dyDescent="0.25">
      <c r="A23" s="313">
        <v>1</v>
      </c>
      <c r="B23" s="313">
        <v>2</v>
      </c>
      <c r="C23" s="313">
        <v>3</v>
      </c>
      <c r="D23" s="313">
        <v>4</v>
      </c>
      <c r="E23" s="313">
        <v>5</v>
      </c>
      <c r="F23" s="313">
        <v>6</v>
      </c>
      <c r="G23" s="313">
        <v>7</v>
      </c>
      <c r="H23" s="313">
        <v>8</v>
      </c>
      <c r="I23" s="313">
        <v>9</v>
      </c>
      <c r="J23" s="313">
        <v>10</v>
      </c>
      <c r="K23" s="313">
        <v>11</v>
      </c>
      <c r="L23" s="313">
        <v>12</v>
      </c>
      <c r="M23" s="313">
        <v>13</v>
      </c>
      <c r="N23" s="313">
        <v>14</v>
      </c>
      <c r="O23" s="313">
        <v>15</v>
      </c>
      <c r="P23" s="313">
        <v>16</v>
      </c>
      <c r="Q23" s="313">
        <v>17</v>
      </c>
      <c r="R23" s="313">
        <v>18</v>
      </c>
      <c r="S23" s="313">
        <v>19</v>
      </c>
      <c r="T23" s="313">
        <v>20</v>
      </c>
      <c r="U23" s="313">
        <v>21</v>
      </c>
    </row>
    <row r="24" spans="1:24" ht="47.25" customHeight="1" x14ac:dyDescent="0.25">
      <c r="A24" s="339">
        <v>1</v>
      </c>
      <c r="B24" s="340" t="s">
        <v>175</v>
      </c>
      <c r="C24" s="231">
        <f>SUM(C25:C29)</f>
        <v>2.02916981</v>
      </c>
      <c r="D24" s="231">
        <f t="shared" ref="D24" si="0">SUM(D25:D29)</f>
        <v>0</v>
      </c>
      <c r="E24" s="231">
        <f t="shared" ref="E24:S24" si="1">SUM(E25:E29)</f>
        <v>2.02916981</v>
      </c>
      <c r="F24" s="231">
        <f t="shared" si="1"/>
        <v>2.02916981</v>
      </c>
      <c r="G24" s="231">
        <f t="shared" si="1"/>
        <v>0</v>
      </c>
      <c r="H24" s="231">
        <f t="shared" si="1"/>
        <v>0</v>
      </c>
      <c r="I24" s="231">
        <f t="shared" si="1"/>
        <v>0</v>
      </c>
      <c r="J24" s="231">
        <f t="shared" si="1"/>
        <v>0</v>
      </c>
      <c r="K24" s="231">
        <f t="shared" si="1"/>
        <v>0</v>
      </c>
      <c r="L24" s="231">
        <f t="shared" si="1"/>
        <v>0</v>
      </c>
      <c r="M24" s="231">
        <f t="shared" si="1"/>
        <v>0</v>
      </c>
      <c r="N24" s="231">
        <f t="shared" si="1"/>
        <v>0</v>
      </c>
      <c r="O24" s="231">
        <f t="shared" si="1"/>
        <v>0</v>
      </c>
      <c r="P24" s="231">
        <f t="shared" si="1"/>
        <v>2.02916981</v>
      </c>
      <c r="Q24" s="231">
        <f t="shared" si="1"/>
        <v>0</v>
      </c>
      <c r="R24" s="231">
        <f t="shared" ref="R24" si="2">SUM(R25:R29)</f>
        <v>0</v>
      </c>
      <c r="S24" s="231">
        <f t="shared" si="1"/>
        <v>0</v>
      </c>
      <c r="T24" s="231">
        <f>H24+L24+P24</f>
        <v>2.02916981</v>
      </c>
      <c r="U24" s="341">
        <f>J24+N24+R24</f>
        <v>0</v>
      </c>
    </row>
    <row r="25" spans="1:24" ht="24" customHeight="1" x14ac:dyDescent="0.25">
      <c r="A25" s="342" t="s">
        <v>174</v>
      </c>
      <c r="B25" s="281" t="s">
        <v>173</v>
      </c>
      <c r="C25" s="231">
        <v>0</v>
      </c>
      <c r="D25" s="231">
        <v>0</v>
      </c>
      <c r="E25" s="231">
        <f>C25</f>
        <v>0</v>
      </c>
      <c r="F25" s="344">
        <f>E25-G25-J25</f>
        <v>0</v>
      </c>
      <c r="G25" s="232">
        <v>0</v>
      </c>
      <c r="H25" s="232">
        <v>0</v>
      </c>
      <c r="I25" s="232">
        <v>0</v>
      </c>
      <c r="J25" s="232">
        <v>0</v>
      </c>
      <c r="K25" s="232">
        <v>0</v>
      </c>
      <c r="L25" s="232">
        <v>0</v>
      </c>
      <c r="M25" s="232">
        <v>0</v>
      </c>
      <c r="N25" s="232">
        <v>0</v>
      </c>
      <c r="O25" s="232">
        <v>0</v>
      </c>
      <c r="P25" s="232">
        <v>0</v>
      </c>
      <c r="Q25" s="232">
        <v>0</v>
      </c>
      <c r="R25" s="232">
        <v>0</v>
      </c>
      <c r="S25" s="232">
        <v>0</v>
      </c>
      <c r="T25" s="231">
        <f t="shared" ref="T25:T64" si="3">H25+L25+P25</f>
        <v>0</v>
      </c>
      <c r="U25" s="341">
        <f t="shared" ref="U25:U64" si="4">J25+N25+R25</f>
        <v>0</v>
      </c>
    </row>
    <row r="26" spans="1:24" x14ac:dyDescent="0.25">
      <c r="A26" s="342" t="s">
        <v>172</v>
      </c>
      <c r="B26" s="281" t="s">
        <v>171</v>
      </c>
      <c r="C26" s="231">
        <v>0</v>
      </c>
      <c r="D26" s="231">
        <v>0</v>
      </c>
      <c r="E26" s="231">
        <f>C26</f>
        <v>0</v>
      </c>
      <c r="F26" s="344">
        <f t="shared" ref="F26:F64" si="5">E26-G26-J26</f>
        <v>0</v>
      </c>
      <c r="G26" s="232">
        <v>0</v>
      </c>
      <c r="H26" s="232">
        <v>0</v>
      </c>
      <c r="I26" s="232">
        <v>0</v>
      </c>
      <c r="J26" s="232">
        <v>0</v>
      </c>
      <c r="K26" s="232">
        <v>0</v>
      </c>
      <c r="L26" s="232">
        <v>0</v>
      </c>
      <c r="M26" s="232">
        <v>0</v>
      </c>
      <c r="N26" s="232">
        <v>0</v>
      </c>
      <c r="O26" s="232">
        <v>0</v>
      </c>
      <c r="P26" s="232">
        <v>0</v>
      </c>
      <c r="Q26" s="232">
        <v>0</v>
      </c>
      <c r="R26" s="232">
        <v>0</v>
      </c>
      <c r="S26" s="232">
        <v>0</v>
      </c>
      <c r="T26" s="231">
        <f t="shared" si="3"/>
        <v>0</v>
      </c>
      <c r="U26" s="341">
        <f t="shared" si="4"/>
        <v>0</v>
      </c>
    </row>
    <row r="27" spans="1:24" ht="31.5" x14ac:dyDescent="0.25">
      <c r="A27" s="342" t="s">
        <v>170</v>
      </c>
      <c r="B27" s="281" t="s">
        <v>511</v>
      </c>
      <c r="C27" s="231">
        <v>2.02916981</v>
      </c>
      <c r="D27" s="231">
        <v>0</v>
      </c>
      <c r="E27" s="231">
        <f>C27</f>
        <v>2.02916981</v>
      </c>
      <c r="F27" s="344">
        <f t="shared" si="5"/>
        <v>2.02916981</v>
      </c>
      <c r="G27" s="232">
        <v>0</v>
      </c>
      <c r="H27" s="232">
        <v>0</v>
      </c>
      <c r="I27" s="232">
        <v>0</v>
      </c>
      <c r="J27" s="232">
        <v>0</v>
      </c>
      <c r="K27" s="232">
        <v>0</v>
      </c>
      <c r="L27" s="232">
        <v>0</v>
      </c>
      <c r="M27" s="232">
        <v>0</v>
      </c>
      <c r="N27" s="343">
        <v>0</v>
      </c>
      <c r="O27" s="232">
        <v>0</v>
      </c>
      <c r="P27" s="232">
        <v>2.02916981</v>
      </c>
      <c r="Q27" s="232">
        <v>0</v>
      </c>
      <c r="R27" s="232">
        <v>0</v>
      </c>
      <c r="S27" s="232">
        <v>0</v>
      </c>
      <c r="T27" s="231">
        <f t="shared" si="3"/>
        <v>2.02916981</v>
      </c>
      <c r="U27" s="341">
        <f t="shared" si="4"/>
        <v>0</v>
      </c>
    </row>
    <row r="28" spans="1:24" x14ac:dyDescent="0.25">
      <c r="A28" s="342" t="s">
        <v>169</v>
      </c>
      <c r="B28" s="281" t="s">
        <v>552</v>
      </c>
      <c r="C28" s="231">
        <v>0</v>
      </c>
      <c r="D28" s="231">
        <v>0</v>
      </c>
      <c r="E28" s="231">
        <f>C28</f>
        <v>0</v>
      </c>
      <c r="F28" s="344">
        <f t="shared" si="5"/>
        <v>0</v>
      </c>
      <c r="G28" s="232">
        <v>0</v>
      </c>
      <c r="H28" s="232">
        <v>0</v>
      </c>
      <c r="I28" s="232">
        <v>0</v>
      </c>
      <c r="J28" s="232">
        <v>0</v>
      </c>
      <c r="K28" s="232">
        <v>0</v>
      </c>
      <c r="L28" s="232">
        <v>0</v>
      </c>
      <c r="M28" s="232">
        <v>0</v>
      </c>
      <c r="N28" s="232">
        <v>0</v>
      </c>
      <c r="O28" s="232">
        <v>0</v>
      </c>
      <c r="P28" s="232">
        <v>0</v>
      </c>
      <c r="Q28" s="232">
        <v>0</v>
      </c>
      <c r="R28" s="232">
        <v>0</v>
      </c>
      <c r="S28" s="232">
        <v>0</v>
      </c>
      <c r="T28" s="231">
        <f t="shared" si="3"/>
        <v>0</v>
      </c>
      <c r="U28" s="341">
        <f t="shared" si="4"/>
        <v>0</v>
      </c>
    </row>
    <row r="29" spans="1:24" x14ac:dyDescent="0.25">
      <c r="A29" s="342" t="s">
        <v>168</v>
      </c>
      <c r="B29" s="58" t="s">
        <v>167</v>
      </c>
      <c r="C29" s="231">
        <v>0</v>
      </c>
      <c r="D29" s="231">
        <v>0</v>
      </c>
      <c r="E29" s="231">
        <f>C29</f>
        <v>0</v>
      </c>
      <c r="F29" s="344">
        <f t="shared" si="5"/>
        <v>0</v>
      </c>
      <c r="G29" s="232">
        <v>0</v>
      </c>
      <c r="H29" s="232">
        <v>0</v>
      </c>
      <c r="I29" s="232">
        <v>0</v>
      </c>
      <c r="J29" s="232">
        <v>0</v>
      </c>
      <c r="K29" s="232">
        <v>0</v>
      </c>
      <c r="L29" s="232">
        <v>0</v>
      </c>
      <c r="M29" s="232">
        <v>0</v>
      </c>
      <c r="N29" s="232">
        <v>0</v>
      </c>
      <c r="O29" s="232">
        <v>0</v>
      </c>
      <c r="P29" s="232">
        <v>0</v>
      </c>
      <c r="Q29" s="232">
        <v>0</v>
      </c>
      <c r="R29" s="232">
        <v>0</v>
      </c>
      <c r="S29" s="232">
        <v>0</v>
      </c>
      <c r="T29" s="231">
        <f t="shared" si="3"/>
        <v>0</v>
      </c>
      <c r="U29" s="341">
        <f t="shared" si="4"/>
        <v>0</v>
      </c>
    </row>
    <row r="30" spans="1:24" s="126" customFormat="1" ht="47.25" x14ac:dyDescent="0.25">
      <c r="A30" s="339" t="s">
        <v>60</v>
      </c>
      <c r="B30" s="340" t="s">
        <v>166</v>
      </c>
      <c r="C30" s="231">
        <f t="shared" ref="C30:N30" si="6">SUM(C31:C34)</f>
        <v>1.69097484</v>
      </c>
      <c r="D30" s="231">
        <f t="shared" ref="D30" si="7">SUM(D31:D34)</f>
        <v>0</v>
      </c>
      <c r="E30" s="231">
        <f t="shared" si="6"/>
        <v>1.69097484</v>
      </c>
      <c r="F30" s="231">
        <f t="shared" si="6"/>
        <v>1.69097484</v>
      </c>
      <c r="G30" s="231">
        <f t="shared" si="6"/>
        <v>0</v>
      </c>
      <c r="H30" s="231">
        <f t="shared" si="6"/>
        <v>0</v>
      </c>
      <c r="I30" s="231">
        <f t="shared" si="6"/>
        <v>0</v>
      </c>
      <c r="J30" s="231">
        <f t="shared" si="6"/>
        <v>0</v>
      </c>
      <c r="K30" s="231">
        <f t="shared" si="6"/>
        <v>0</v>
      </c>
      <c r="L30" s="231">
        <f t="shared" si="6"/>
        <v>0</v>
      </c>
      <c r="M30" s="231">
        <f t="shared" si="6"/>
        <v>0</v>
      </c>
      <c r="N30" s="231">
        <f t="shared" si="6"/>
        <v>0</v>
      </c>
      <c r="O30" s="231">
        <f t="shared" ref="O30:S30" si="8">SUM(O31:O34)</f>
        <v>0</v>
      </c>
      <c r="P30" s="231">
        <f t="shared" si="8"/>
        <v>1.69097484</v>
      </c>
      <c r="Q30" s="231">
        <f t="shared" si="8"/>
        <v>0</v>
      </c>
      <c r="R30" s="231">
        <f t="shared" si="8"/>
        <v>0</v>
      </c>
      <c r="S30" s="231">
        <f t="shared" si="8"/>
        <v>0</v>
      </c>
      <c r="T30" s="231">
        <f t="shared" si="3"/>
        <v>1.69097484</v>
      </c>
      <c r="U30" s="341">
        <f t="shared" si="4"/>
        <v>0</v>
      </c>
      <c r="W30" s="50"/>
    </row>
    <row r="31" spans="1:24" x14ac:dyDescent="0.25">
      <c r="A31" s="339" t="s">
        <v>165</v>
      </c>
      <c r="B31" s="281" t="s">
        <v>164</v>
      </c>
      <c r="C31" s="231">
        <v>8.391361E-2</v>
      </c>
      <c r="D31" s="231">
        <v>0</v>
      </c>
      <c r="E31" s="231">
        <f t="shared" ref="E31:E64" si="9">C31</f>
        <v>8.391361E-2</v>
      </c>
      <c r="F31" s="344">
        <f t="shared" si="5"/>
        <v>8.391361E-2</v>
      </c>
      <c r="G31" s="232">
        <v>0</v>
      </c>
      <c r="H31" s="232">
        <v>0</v>
      </c>
      <c r="I31" s="232">
        <v>0</v>
      </c>
      <c r="J31" s="232">
        <v>0</v>
      </c>
      <c r="K31" s="232">
        <v>0</v>
      </c>
      <c r="L31" s="232">
        <v>0</v>
      </c>
      <c r="M31" s="232">
        <v>0</v>
      </c>
      <c r="N31" s="232">
        <v>0</v>
      </c>
      <c r="O31" s="232">
        <v>0</v>
      </c>
      <c r="P31" s="232">
        <v>8.391361E-2</v>
      </c>
      <c r="Q31" s="232">
        <v>0</v>
      </c>
      <c r="R31" s="232">
        <v>0</v>
      </c>
      <c r="S31" s="232">
        <v>0</v>
      </c>
      <c r="T31" s="231">
        <f t="shared" si="3"/>
        <v>8.391361E-2</v>
      </c>
      <c r="U31" s="341">
        <f t="shared" si="4"/>
        <v>0</v>
      </c>
    </row>
    <row r="32" spans="1:24" ht="31.5" x14ac:dyDescent="0.25">
      <c r="A32" s="339" t="s">
        <v>163</v>
      </c>
      <c r="B32" s="281" t="s">
        <v>162</v>
      </c>
      <c r="C32" s="231">
        <v>1.60706123</v>
      </c>
      <c r="D32" s="231">
        <v>0</v>
      </c>
      <c r="E32" s="231">
        <f t="shared" si="9"/>
        <v>1.60706123</v>
      </c>
      <c r="F32" s="344">
        <f t="shared" si="5"/>
        <v>1.60706123</v>
      </c>
      <c r="G32" s="232">
        <v>0</v>
      </c>
      <c r="H32" s="232">
        <v>0</v>
      </c>
      <c r="I32" s="232">
        <v>0</v>
      </c>
      <c r="J32" s="232">
        <v>0</v>
      </c>
      <c r="K32" s="232">
        <v>0</v>
      </c>
      <c r="L32" s="232">
        <v>0</v>
      </c>
      <c r="M32" s="232">
        <v>0</v>
      </c>
      <c r="N32" s="232">
        <v>0</v>
      </c>
      <c r="O32" s="232">
        <v>0</v>
      </c>
      <c r="P32" s="232">
        <v>1.60706123</v>
      </c>
      <c r="Q32" s="232">
        <v>0</v>
      </c>
      <c r="R32" s="232">
        <v>0</v>
      </c>
      <c r="S32" s="232">
        <v>0</v>
      </c>
      <c r="T32" s="231">
        <f t="shared" si="3"/>
        <v>1.60706123</v>
      </c>
      <c r="U32" s="341">
        <f t="shared" si="4"/>
        <v>0</v>
      </c>
    </row>
    <row r="33" spans="1:21" x14ac:dyDescent="0.25">
      <c r="A33" s="339" t="s">
        <v>161</v>
      </c>
      <c r="B33" s="281" t="s">
        <v>160</v>
      </c>
      <c r="C33" s="231">
        <v>0</v>
      </c>
      <c r="D33" s="231">
        <v>0</v>
      </c>
      <c r="E33" s="231">
        <f t="shared" si="9"/>
        <v>0</v>
      </c>
      <c r="F33" s="344">
        <f t="shared" si="5"/>
        <v>0</v>
      </c>
      <c r="G33" s="232">
        <v>0</v>
      </c>
      <c r="H33" s="232">
        <v>0</v>
      </c>
      <c r="I33" s="232">
        <v>0</v>
      </c>
      <c r="J33" s="232">
        <v>0</v>
      </c>
      <c r="K33" s="232">
        <v>0</v>
      </c>
      <c r="L33" s="232">
        <v>0</v>
      </c>
      <c r="M33" s="232">
        <v>0</v>
      </c>
      <c r="N33" s="232">
        <v>0</v>
      </c>
      <c r="O33" s="232">
        <v>0</v>
      </c>
      <c r="P33" s="232">
        <v>0</v>
      </c>
      <c r="Q33" s="232">
        <v>0</v>
      </c>
      <c r="R33" s="232">
        <v>0</v>
      </c>
      <c r="S33" s="232">
        <v>0</v>
      </c>
      <c r="T33" s="231">
        <f t="shared" si="3"/>
        <v>0</v>
      </c>
      <c r="U33" s="341">
        <f t="shared" si="4"/>
        <v>0</v>
      </c>
    </row>
    <row r="34" spans="1:21" x14ac:dyDescent="0.25">
      <c r="A34" s="339" t="s">
        <v>159</v>
      </c>
      <c r="B34" s="281" t="s">
        <v>158</v>
      </c>
      <c r="C34" s="231">
        <v>0</v>
      </c>
      <c r="D34" s="231">
        <v>0</v>
      </c>
      <c r="E34" s="231">
        <f t="shared" si="9"/>
        <v>0</v>
      </c>
      <c r="F34" s="344">
        <f t="shared" si="5"/>
        <v>0</v>
      </c>
      <c r="G34" s="232">
        <v>0</v>
      </c>
      <c r="H34" s="232">
        <v>0</v>
      </c>
      <c r="I34" s="232">
        <v>0</v>
      </c>
      <c r="J34" s="232">
        <v>0</v>
      </c>
      <c r="K34" s="232">
        <v>0</v>
      </c>
      <c r="L34" s="232">
        <v>0</v>
      </c>
      <c r="M34" s="232">
        <v>0</v>
      </c>
      <c r="N34" s="232">
        <v>0</v>
      </c>
      <c r="O34" s="232">
        <v>0</v>
      </c>
      <c r="P34" s="232">
        <v>0</v>
      </c>
      <c r="Q34" s="232">
        <v>0</v>
      </c>
      <c r="R34" s="232">
        <v>0</v>
      </c>
      <c r="S34" s="232">
        <v>0</v>
      </c>
      <c r="T34" s="231">
        <f t="shared" si="3"/>
        <v>0</v>
      </c>
      <c r="U34" s="341">
        <f t="shared" si="4"/>
        <v>0</v>
      </c>
    </row>
    <row r="35" spans="1:21" s="126" customFormat="1" ht="31.5" x14ac:dyDescent="0.25">
      <c r="A35" s="339" t="s">
        <v>59</v>
      </c>
      <c r="B35" s="340" t="s">
        <v>157</v>
      </c>
      <c r="C35" s="231">
        <v>0</v>
      </c>
      <c r="D35" s="231">
        <v>0</v>
      </c>
      <c r="E35" s="231">
        <f t="shared" si="9"/>
        <v>0</v>
      </c>
      <c r="F35" s="344">
        <f t="shared" si="5"/>
        <v>0</v>
      </c>
      <c r="G35" s="231">
        <v>0</v>
      </c>
      <c r="H35" s="231">
        <v>0</v>
      </c>
      <c r="I35" s="231">
        <v>0</v>
      </c>
      <c r="J35" s="231">
        <v>0</v>
      </c>
      <c r="K35" s="231">
        <v>0</v>
      </c>
      <c r="L35" s="231">
        <v>0</v>
      </c>
      <c r="M35" s="231">
        <v>0</v>
      </c>
      <c r="N35" s="345">
        <v>0</v>
      </c>
      <c r="O35" s="231">
        <v>0</v>
      </c>
      <c r="P35" s="231">
        <v>0</v>
      </c>
      <c r="Q35" s="231">
        <v>0</v>
      </c>
      <c r="R35" s="231">
        <v>0</v>
      </c>
      <c r="S35" s="231">
        <v>0</v>
      </c>
      <c r="T35" s="231">
        <f t="shared" si="3"/>
        <v>0</v>
      </c>
      <c r="U35" s="341">
        <f t="shared" si="4"/>
        <v>0</v>
      </c>
    </row>
    <row r="36" spans="1:21" ht="31.5" x14ac:dyDescent="0.25">
      <c r="A36" s="342" t="s">
        <v>156</v>
      </c>
      <c r="B36" s="346" t="s">
        <v>155</v>
      </c>
      <c r="C36" s="347">
        <v>0</v>
      </c>
      <c r="D36" s="231">
        <v>0</v>
      </c>
      <c r="E36" s="231">
        <f t="shared" si="9"/>
        <v>0</v>
      </c>
      <c r="F36" s="344">
        <f t="shared" si="5"/>
        <v>0</v>
      </c>
      <c r="G36" s="232">
        <v>0</v>
      </c>
      <c r="H36" s="232">
        <v>0</v>
      </c>
      <c r="I36" s="232">
        <v>0</v>
      </c>
      <c r="J36" s="232">
        <v>0</v>
      </c>
      <c r="K36" s="232">
        <v>0</v>
      </c>
      <c r="L36" s="232">
        <v>0</v>
      </c>
      <c r="M36" s="232">
        <v>0</v>
      </c>
      <c r="N36" s="232">
        <v>0</v>
      </c>
      <c r="O36" s="232">
        <v>0</v>
      </c>
      <c r="P36" s="232">
        <v>0</v>
      </c>
      <c r="Q36" s="232">
        <v>0</v>
      </c>
      <c r="R36" s="232">
        <v>0</v>
      </c>
      <c r="S36" s="232">
        <v>0</v>
      </c>
      <c r="T36" s="231">
        <f t="shared" si="3"/>
        <v>0</v>
      </c>
      <c r="U36" s="341">
        <f t="shared" si="4"/>
        <v>0</v>
      </c>
    </row>
    <row r="37" spans="1:21" x14ac:dyDescent="0.25">
      <c r="A37" s="342" t="s">
        <v>154</v>
      </c>
      <c r="B37" s="346" t="s">
        <v>144</v>
      </c>
      <c r="C37" s="347">
        <v>0</v>
      </c>
      <c r="D37" s="231">
        <v>0</v>
      </c>
      <c r="E37" s="231">
        <f t="shared" si="9"/>
        <v>0</v>
      </c>
      <c r="F37" s="344">
        <f t="shared" si="5"/>
        <v>0</v>
      </c>
      <c r="G37" s="232">
        <v>0</v>
      </c>
      <c r="H37" s="232">
        <v>0</v>
      </c>
      <c r="I37" s="232">
        <v>0</v>
      </c>
      <c r="J37" s="232">
        <v>0</v>
      </c>
      <c r="K37" s="232">
        <v>0</v>
      </c>
      <c r="L37" s="232">
        <v>0</v>
      </c>
      <c r="M37" s="232">
        <v>0</v>
      </c>
      <c r="N37" s="343">
        <v>0</v>
      </c>
      <c r="O37" s="232">
        <v>0</v>
      </c>
      <c r="P37" s="232">
        <v>0</v>
      </c>
      <c r="Q37" s="232">
        <v>0</v>
      </c>
      <c r="R37" s="232">
        <v>0</v>
      </c>
      <c r="S37" s="232">
        <v>0</v>
      </c>
      <c r="T37" s="231">
        <f t="shared" si="3"/>
        <v>0</v>
      </c>
      <c r="U37" s="341">
        <f t="shared" si="4"/>
        <v>0</v>
      </c>
    </row>
    <row r="38" spans="1:21" x14ac:dyDescent="0.25">
      <c r="A38" s="342" t="s">
        <v>153</v>
      </c>
      <c r="B38" s="346" t="s">
        <v>142</v>
      </c>
      <c r="C38" s="347">
        <v>0</v>
      </c>
      <c r="D38" s="231">
        <v>0</v>
      </c>
      <c r="E38" s="231">
        <f t="shared" si="9"/>
        <v>0</v>
      </c>
      <c r="F38" s="344">
        <f t="shared" si="5"/>
        <v>0</v>
      </c>
      <c r="G38" s="232">
        <v>0</v>
      </c>
      <c r="H38" s="232">
        <v>0</v>
      </c>
      <c r="I38" s="232">
        <v>0</v>
      </c>
      <c r="J38" s="232">
        <v>0</v>
      </c>
      <c r="K38" s="232">
        <v>0</v>
      </c>
      <c r="L38" s="232">
        <v>0</v>
      </c>
      <c r="M38" s="232">
        <v>0</v>
      </c>
      <c r="N38" s="232">
        <v>0</v>
      </c>
      <c r="O38" s="232">
        <v>0</v>
      </c>
      <c r="P38" s="232">
        <v>0</v>
      </c>
      <c r="Q38" s="232">
        <v>0</v>
      </c>
      <c r="R38" s="232">
        <v>0</v>
      </c>
      <c r="S38" s="232">
        <v>0</v>
      </c>
      <c r="T38" s="231">
        <f t="shared" si="3"/>
        <v>0</v>
      </c>
      <c r="U38" s="341">
        <f t="shared" si="4"/>
        <v>0</v>
      </c>
    </row>
    <row r="39" spans="1:21" ht="31.5" x14ac:dyDescent="0.25">
      <c r="A39" s="342" t="s">
        <v>152</v>
      </c>
      <c r="B39" s="281" t="s">
        <v>140</v>
      </c>
      <c r="C39" s="231">
        <v>0</v>
      </c>
      <c r="D39" s="231">
        <v>0</v>
      </c>
      <c r="E39" s="231">
        <f t="shared" si="9"/>
        <v>0</v>
      </c>
      <c r="F39" s="344">
        <f t="shared" si="5"/>
        <v>0</v>
      </c>
      <c r="G39" s="232">
        <v>0</v>
      </c>
      <c r="H39" s="232">
        <v>0</v>
      </c>
      <c r="I39" s="232">
        <v>0</v>
      </c>
      <c r="J39" s="232">
        <v>0</v>
      </c>
      <c r="K39" s="232">
        <v>0</v>
      </c>
      <c r="L39" s="232">
        <v>0</v>
      </c>
      <c r="M39" s="232">
        <v>0</v>
      </c>
      <c r="N39" s="232">
        <v>0</v>
      </c>
      <c r="O39" s="232">
        <v>0</v>
      </c>
      <c r="P39" s="232">
        <v>0</v>
      </c>
      <c r="Q39" s="232">
        <v>0</v>
      </c>
      <c r="R39" s="232">
        <v>0</v>
      </c>
      <c r="S39" s="232">
        <v>0</v>
      </c>
      <c r="T39" s="231">
        <f t="shared" si="3"/>
        <v>0</v>
      </c>
      <c r="U39" s="341">
        <f t="shared" si="4"/>
        <v>0</v>
      </c>
    </row>
    <row r="40" spans="1:21" ht="31.5" x14ac:dyDescent="0.25">
      <c r="A40" s="342" t="s">
        <v>151</v>
      </c>
      <c r="B40" s="281" t="s">
        <v>138</v>
      </c>
      <c r="C40" s="231">
        <v>0</v>
      </c>
      <c r="D40" s="231">
        <v>0</v>
      </c>
      <c r="E40" s="231">
        <f t="shared" si="9"/>
        <v>0</v>
      </c>
      <c r="F40" s="344">
        <f t="shared" si="5"/>
        <v>0</v>
      </c>
      <c r="G40" s="232">
        <v>0</v>
      </c>
      <c r="H40" s="232">
        <v>0</v>
      </c>
      <c r="I40" s="232">
        <v>0</v>
      </c>
      <c r="J40" s="232">
        <v>0</v>
      </c>
      <c r="K40" s="232">
        <v>0</v>
      </c>
      <c r="L40" s="232">
        <v>0</v>
      </c>
      <c r="M40" s="232">
        <v>0</v>
      </c>
      <c r="N40" s="232">
        <v>0</v>
      </c>
      <c r="O40" s="232">
        <v>0</v>
      </c>
      <c r="P40" s="232">
        <v>0</v>
      </c>
      <c r="Q40" s="232">
        <v>0</v>
      </c>
      <c r="R40" s="232">
        <v>0</v>
      </c>
      <c r="S40" s="232">
        <v>0</v>
      </c>
      <c r="T40" s="231">
        <f t="shared" si="3"/>
        <v>0</v>
      </c>
      <c r="U40" s="341">
        <f t="shared" si="4"/>
        <v>0</v>
      </c>
    </row>
    <row r="41" spans="1:21" x14ac:dyDescent="0.25">
      <c r="A41" s="342" t="s">
        <v>150</v>
      </c>
      <c r="B41" s="281" t="s">
        <v>136</v>
      </c>
      <c r="C41" s="231">
        <v>0.52</v>
      </c>
      <c r="D41" s="231">
        <v>0</v>
      </c>
      <c r="E41" s="231">
        <f t="shared" si="9"/>
        <v>0.52</v>
      </c>
      <c r="F41" s="344">
        <f t="shared" si="5"/>
        <v>0.52</v>
      </c>
      <c r="G41" s="232">
        <v>0</v>
      </c>
      <c r="H41" s="232">
        <v>0</v>
      </c>
      <c r="I41" s="232">
        <v>0</v>
      </c>
      <c r="J41" s="232">
        <v>0</v>
      </c>
      <c r="K41" s="232">
        <v>0</v>
      </c>
      <c r="L41" s="232">
        <v>0</v>
      </c>
      <c r="M41" s="232">
        <v>0</v>
      </c>
      <c r="N41" s="232">
        <v>0</v>
      </c>
      <c r="O41" s="232">
        <v>0</v>
      </c>
      <c r="P41" s="232">
        <v>0.52</v>
      </c>
      <c r="Q41" s="232">
        <v>0</v>
      </c>
      <c r="R41" s="232">
        <v>0</v>
      </c>
      <c r="S41" s="232">
        <v>0</v>
      </c>
      <c r="T41" s="231">
        <f t="shared" si="3"/>
        <v>0.52</v>
      </c>
      <c r="U41" s="341">
        <f t="shared" si="4"/>
        <v>0</v>
      </c>
    </row>
    <row r="42" spans="1:21" ht="18.75" x14ac:dyDescent="0.25">
      <c r="A42" s="342" t="s">
        <v>149</v>
      </c>
      <c r="B42" s="346" t="s">
        <v>134</v>
      </c>
      <c r="C42" s="347">
        <v>0</v>
      </c>
      <c r="D42" s="231">
        <v>0</v>
      </c>
      <c r="E42" s="231">
        <f t="shared" si="9"/>
        <v>0</v>
      </c>
      <c r="F42" s="344">
        <f t="shared" si="5"/>
        <v>0</v>
      </c>
      <c r="G42" s="232">
        <v>0</v>
      </c>
      <c r="H42" s="232">
        <v>0</v>
      </c>
      <c r="I42" s="232">
        <v>0</v>
      </c>
      <c r="J42" s="232">
        <v>0</v>
      </c>
      <c r="K42" s="232">
        <v>0</v>
      </c>
      <c r="L42" s="232">
        <v>0</v>
      </c>
      <c r="M42" s="232">
        <v>0</v>
      </c>
      <c r="N42" s="232">
        <v>0</v>
      </c>
      <c r="O42" s="232">
        <v>0</v>
      </c>
      <c r="P42" s="232">
        <v>0</v>
      </c>
      <c r="Q42" s="232">
        <v>0</v>
      </c>
      <c r="R42" s="232">
        <v>0</v>
      </c>
      <c r="S42" s="232">
        <v>0</v>
      </c>
      <c r="T42" s="231">
        <f t="shared" si="3"/>
        <v>0</v>
      </c>
      <c r="U42" s="341">
        <f t="shared" si="4"/>
        <v>0</v>
      </c>
    </row>
    <row r="43" spans="1:21" s="126" customFormat="1" x14ac:dyDescent="0.25">
      <c r="A43" s="339" t="s">
        <v>58</v>
      </c>
      <c r="B43" s="340" t="s">
        <v>148</v>
      </c>
      <c r="C43" s="231">
        <v>0</v>
      </c>
      <c r="D43" s="231">
        <v>0</v>
      </c>
      <c r="E43" s="231">
        <f t="shared" si="9"/>
        <v>0</v>
      </c>
      <c r="F43" s="344">
        <f t="shared" si="5"/>
        <v>0</v>
      </c>
      <c r="G43" s="231">
        <v>0</v>
      </c>
      <c r="H43" s="231">
        <v>0</v>
      </c>
      <c r="I43" s="231">
        <v>0</v>
      </c>
      <c r="J43" s="231">
        <v>0</v>
      </c>
      <c r="K43" s="231">
        <v>0</v>
      </c>
      <c r="L43" s="231">
        <v>0</v>
      </c>
      <c r="M43" s="231">
        <v>0</v>
      </c>
      <c r="N43" s="345">
        <v>0</v>
      </c>
      <c r="O43" s="231">
        <v>0</v>
      </c>
      <c r="P43" s="231">
        <v>0</v>
      </c>
      <c r="Q43" s="231">
        <v>0</v>
      </c>
      <c r="R43" s="231">
        <v>0</v>
      </c>
      <c r="S43" s="231">
        <v>0</v>
      </c>
      <c r="T43" s="231">
        <f t="shared" si="3"/>
        <v>0</v>
      </c>
      <c r="U43" s="341">
        <f t="shared" si="4"/>
        <v>0</v>
      </c>
    </row>
    <row r="44" spans="1:21" x14ac:dyDescent="0.25">
      <c r="A44" s="342" t="s">
        <v>147</v>
      </c>
      <c r="B44" s="281" t="s">
        <v>146</v>
      </c>
      <c r="C44" s="231">
        <v>0</v>
      </c>
      <c r="D44" s="231">
        <v>0</v>
      </c>
      <c r="E44" s="231">
        <f t="shared" si="9"/>
        <v>0</v>
      </c>
      <c r="F44" s="344">
        <f t="shared" si="5"/>
        <v>0</v>
      </c>
      <c r="G44" s="232">
        <v>0</v>
      </c>
      <c r="H44" s="232">
        <v>0</v>
      </c>
      <c r="I44" s="232">
        <v>0</v>
      </c>
      <c r="J44" s="232">
        <v>0</v>
      </c>
      <c r="K44" s="232">
        <v>0</v>
      </c>
      <c r="L44" s="232">
        <v>0</v>
      </c>
      <c r="M44" s="232">
        <v>0</v>
      </c>
      <c r="N44" s="232">
        <v>0</v>
      </c>
      <c r="O44" s="232">
        <v>0</v>
      </c>
      <c r="P44" s="232">
        <v>0</v>
      </c>
      <c r="Q44" s="232">
        <v>0</v>
      </c>
      <c r="R44" s="232">
        <v>0</v>
      </c>
      <c r="S44" s="232">
        <v>0</v>
      </c>
      <c r="T44" s="231">
        <f t="shared" si="3"/>
        <v>0</v>
      </c>
      <c r="U44" s="341">
        <f t="shared" si="4"/>
        <v>0</v>
      </c>
    </row>
    <row r="45" spans="1:21" x14ac:dyDescent="0.25">
      <c r="A45" s="342" t="s">
        <v>145</v>
      </c>
      <c r="B45" s="281" t="s">
        <v>144</v>
      </c>
      <c r="C45" s="231">
        <v>0</v>
      </c>
      <c r="D45" s="231">
        <v>0</v>
      </c>
      <c r="E45" s="231">
        <f t="shared" si="9"/>
        <v>0</v>
      </c>
      <c r="F45" s="344">
        <f t="shared" si="5"/>
        <v>0</v>
      </c>
      <c r="G45" s="232">
        <v>0</v>
      </c>
      <c r="H45" s="232">
        <v>0</v>
      </c>
      <c r="I45" s="232">
        <v>0</v>
      </c>
      <c r="J45" s="232">
        <v>0</v>
      </c>
      <c r="K45" s="232">
        <v>0</v>
      </c>
      <c r="L45" s="232">
        <v>0</v>
      </c>
      <c r="M45" s="232">
        <v>0</v>
      </c>
      <c r="N45" s="343">
        <v>0</v>
      </c>
      <c r="O45" s="232">
        <v>0</v>
      </c>
      <c r="P45" s="232">
        <v>0</v>
      </c>
      <c r="Q45" s="232">
        <v>0</v>
      </c>
      <c r="R45" s="232">
        <v>0</v>
      </c>
      <c r="S45" s="232">
        <v>0</v>
      </c>
      <c r="T45" s="231">
        <f t="shared" si="3"/>
        <v>0</v>
      </c>
      <c r="U45" s="341">
        <f t="shared" si="4"/>
        <v>0</v>
      </c>
    </row>
    <row r="46" spans="1:21" x14ac:dyDescent="0.25">
      <c r="A46" s="342" t="s">
        <v>143</v>
      </c>
      <c r="B46" s="281" t="s">
        <v>142</v>
      </c>
      <c r="C46" s="231">
        <v>0</v>
      </c>
      <c r="D46" s="231">
        <v>0</v>
      </c>
      <c r="E46" s="231">
        <f t="shared" si="9"/>
        <v>0</v>
      </c>
      <c r="F46" s="344">
        <f t="shared" si="5"/>
        <v>0</v>
      </c>
      <c r="G46" s="232">
        <v>0</v>
      </c>
      <c r="H46" s="232">
        <v>0</v>
      </c>
      <c r="I46" s="232">
        <v>0</v>
      </c>
      <c r="J46" s="232">
        <v>0</v>
      </c>
      <c r="K46" s="232">
        <v>0</v>
      </c>
      <c r="L46" s="232">
        <v>0</v>
      </c>
      <c r="M46" s="232">
        <v>0</v>
      </c>
      <c r="N46" s="232">
        <v>0</v>
      </c>
      <c r="O46" s="232">
        <v>0</v>
      </c>
      <c r="P46" s="232">
        <v>0</v>
      </c>
      <c r="Q46" s="232">
        <v>0</v>
      </c>
      <c r="R46" s="232">
        <v>0</v>
      </c>
      <c r="S46" s="232">
        <v>0</v>
      </c>
      <c r="T46" s="231">
        <f t="shared" si="3"/>
        <v>0</v>
      </c>
      <c r="U46" s="341">
        <f t="shared" si="4"/>
        <v>0</v>
      </c>
    </row>
    <row r="47" spans="1:21" ht="31.5" x14ac:dyDescent="0.25">
      <c r="A47" s="342" t="s">
        <v>141</v>
      </c>
      <c r="B47" s="281" t="s">
        <v>140</v>
      </c>
      <c r="C47" s="231">
        <v>0</v>
      </c>
      <c r="D47" s="231">
        <v>0</v>
      </c>
      <c r="E47" s="231">
        <f t="shared" si="9"/>
        <v>0</v>
      </c>
      <c r="F47" s="344">
        <f t="shared" si="5"/>
        <v>0</v>
      </c>
      <c r="G47" s="232">
        <v>0</v>
      </c>
      <c r="H47" s="232">
        <v>0</v>
      </c>
      <c r="I47" s="232">
        <v>0</v>
      </c>
      <c r="J47" s="232">
        <v>0</v>
      </c>
      <c r="K47" s="232">
        <v>0</v>
      </c>
      <c r="L47" s="232">
        <v>0</v>
      </c>
      <c r="M47" s="232">
        <v>0</v>
      </c>
      <c r="N47" s="232">
        <v>0</v>
      </c>
      <c r="O47" s="232">
        <v>0</v>
      </c>
      <c r="P47" s="232">
        <v>0</v>
      </c>
      <c r="Q47" s="232">
        <v>0</v>
      </c>
      <c r="R47" s="232">
        <v>0</v>
      </c>
      <c r="S47" s="232">
        <v>0</v>
      </c>
      <c r="T47" s="231">
        <f t="shared" si="3"/>
        <v>0</v>
      </c>
      <c r="U47" s="341">
        <f t="shared" si="4"/>
        <v>0</v>
      </c>
    </row>
    <row r="48" spans="1:21" ht="31.5" x14ac:dyDescent="0.25">
      <c r="A48" s="342" t="s">
        <v>139</v>
      </c>
      <c r="B48" s="281" t="s">
        <v>138</v>
      </c>
      <c r="C48" s="231">
        <v>0</v>
      </c>
      <c r="D48" s="231">
        <v>0</v>
      </c>
      <c r="E48" s="231">
        <f t="shared" si="9"/>
        <v>0</v>
      </c>
      <c r="F48" s="344">
        <f t="shared" si="5"/>
        <v>0</v>
      </c>
      <c r="G48" s="232">
        <v>0</v>
      </c>
      <c r="H48" s="232">
        <v>0</v>
      </c>
      <c r="I48" s="232">
        <v>0</v>
      </c>
      <c r="J48" s="232">
        <v>0</v>
      </c>
      <c r="K48" s="232">
        <v>0</v>
      </c>
      <c r="L48" s="232">
        <v>0</v>
      </c>
      <c r="M48" s="232">
        <v>0</v>
      </c>
      <c r="N48" s="232">
        <v>0</v>
      </c>
      <c r="O48" s="232">
        <v>0</v>
      </c>
      <c r="P48" s="232">
        <v>0</v>
      </c>
      <c r="Q48" s="232">
        <v>0</v>
      </c>
      <c r="R48" s="232">
        <v>0</v>
      </c>
      <c r="S48" s="232">
        <v>0</v>
      </c>
      <c r="T48" s="231">
        <f t="shared" si="3"/>
        <v>0</v>
      </c>
      <c r="U48" s="341">
        <f t="shared" si="4"/>
        <v>0</v>
      </c>
    </row>
    <row r="49" spans="1:21" x14ac:dyDescent="0.25">
      <c r="A49" s="342" t="s">
        <v>137</v>
      </c>
      <c r="B49" s="281" t="s">
        <v>136</v>
      </c>
      <c r="C49" s="231">
        <v>0.52</v>
      </c>
      <c r="D49" s="231">
        <v>0</v>
      </c>
      <c r="E49" s="231">
        <f t="shared" si="9"/>
        <v>0.52</v>
      </c>
      <c r="F49" s="344">
        <f t="shared" si="5"/>
        <v>0.52</v>
      </c>
      <c r="G49" s="232">
        <v>0</v>
      </c>
      <c r="H49" s="232">
        <v>0</v>
      </c>
      <c r="I49" s="232">
        <v>0</v>
      </c>
      <c r="J49" s="232">
        <v>0</v>
      </c>
      <c r="K49" s="232">
        <v>0</v>
      </c>
      <c r="L49" s="232">
        <v>0</v>
      </c>
      <c r="M49" s="232">
        <v>0</v>
      </c>
      <c r="N49" s="232">
        <v>0</v>
      </c>
      <c r="O49" s="232">
        <v>0</v>
      </c>
      <c r="P49" s="232">
        <v>0.52</v>
      </c>
      <c r="Q49" s="232">
        <v>0</v>
      </c>
      <c r="R49" s="232">
        <v>0</v>
      </c>
      <c r="S49" s="232">
        <v>0</v>
      </c>
      <c r="T49" s="231">
        <f t="shared" si="3"/>
        <v>0.52</v>
      </c>
      <c r="U49" s="341">
        <f t="shared" si="4"/>
        <v>0</v>
      </c>
    </row>
    <row r="50" spans="1:21" ht="18.75" x14ac:dyDescent="0.25">
      <c r="A50" s="342" t="s">
        <v>135</v>
      </c>
      <c r="B50" s="346" t="s">
        <v>134</v>
      </c>
      <c r="C50" s="231">
        <v>0</v>
      </c>
      <c r="D50" s="231">
        <v>0</v>
      </c>
      <c r="E50" s="231">
        <f t="shared" si="9"/>
        <v>0</v>
      </c>
      <c r="F50" s="344">
        <f t="shared" si="5"/>
        <v>0</v>
      </c>
      <c r="G50" s="232">
        <v>0</v>
      </c>
      <c r="H50" s="232">
        <v>0</v>
      </c>
      <c r="I50" s="232">
        <v>0</v>
      </c>
      <c r="J50" s="232">
        <v>0</v>
      </c>
      <c r="K50" s="232">
        <v>0</v>
      </c>
      <c r="L50" s="232">
        <v>0</v>
      </c>
      <c r="M50" s="232">
        <v>0</v>
      </c>
      <c r="N50" s="232">
        <v>0</v>
      </c>
      <c r="O50" s="232">
        <v>0</v>
      </c>
      <c r="P50" s="232">
        <v>0</v>
      </c>
      <c r="Q50" s="232">
        <v>0</v>
      </c>
      <c r="R50" s="232">
        <v>0</v>
      </c>
      <c r="S50" s="232">
        <v>0</v>
      </c>
      <c r="T50" s="231">
        <f t="shared" si="3"/>
        <v>0</v>
      </c>
      <c r="U50" s="341">
        <f t="shared" si="4"/>
        <v>0</v>
      </c>
    </row>
    <row r="51" spans="1:21" s="126" customFormat="1" ht="35.25" customHeight="1" x14ac:dyDescent="0.25">
      <c r="A51" s="339" t="s">
        <v>56</v>
      </c>
      <c r="B51" s="340" t="s">
        <v>133</v>
      </c>
      <c r="C51" s="231">
        <v>0</v>
      </c>
      <c r="D51" s="231">
        <v>0</v>
      </c>
      <c r="E51" s="231">
        <f t="shared" si="9"/>
        <v>0</v>
      </c>
      <c r="F51" s="344">
        <f t="shared" si="5"/>
        <v>0</v>
      </c>
      <c r="G51" s="231">
        <v>0</v>
      </c>
      <c r="H51" s="231">
        <v>0</v>
      </c>
      <c r="I51" s="231">
        <v>0</v>
      </c>
      <c r="J51" s="231">
        <v>0</v>
      </c>
      <c r="K51" s="231">
        <v>0</v>
      </c>
      <c r="L51" s="231">
        <v>0</v>
      </c>
      <c r="M51" s="231">
        <v>0</v>
      </c>
      <c r="N51" s="345">
        <v>0</v>
      </c>
      <c r="O51" s="231">
        <v>0</v>
      </c>
      <c r="P51" s="231">
        <v>0</v>
      </c>
      <c r="Q51" s="231">
        <v>0</v>
      </c>
      <c r="R51" s="231">
        <v>0</v>
      </c>
      <c r="S51" s="231">
        <v>0</v>
      </c>
      <c r="T51" s="231">
        <f t="shared" si="3"/>
        <v>0</v>
      </c>
      <c r="U51" s="341">
        <f t="shared" si="4"/>
        <v>0</v>
      </c>
    </row>
    <row r="52" spans="1:21" x14ac:dyDescent="0.25">
      <c r="A52" s="342" t="s">
        <v>132</v>
      </c>
      <c r="B52" s="281" t="s">
        <v>131</v>
      </c>
      <c r="C52" s="231">
        <v>1.69097484</v>
      </c>
      <c r="D52" s="231">
        <v>0</v>
      </c>
      <c r="E52" s="231">
        <f t="shared" si="9"/>
        <v>1.69097484</v>
      </c>
      <c r="F52" s="344">
        <f t="shared" si="5"/>
        <v>1.69097484</v>
      </c>
      <c r="G52" s="232">
        <v>0</v>
      </c>
      <c r="H52" s="232">
        <v>0</v>
      </c>
      <c r="I52" s="232">
        <v>0</v>
      </c>
      <c r="J52" s="232">
        <v>0</v>
      </c>
      <c r="K52" s="232">
        <v>0</v>
      </c>
      <c r="L52" s="232">
        <v>0</v>
      </c>
      <c r="M52" s="232">
        <v>0</v>
      </c>
      <c r="N52" s="232">
        <v>0</v>
      </c>
      <c r="O52" s="232">
        <v>0</v>
      </c>
      <c r="P52" s="232">
        <v>1.69097484</v>
      </c>
      <c r="Q52" s="232">
        <v>0</v>
      </c>
      <c r="R52" s="232">
        <v>0</v>
      </c>
      <c r="S52" s="232">
        <v>0</v>
      </c>
      <c r="T52" s="231">
        <f t="shared" si="3"/>
        <v>1.69097484</v>
      </c>
      <c r="U52" s="341">
        <f t="shared" si="4"/>
        <v>0</v>
      </c>
    </row>
    <row r="53" spans="1:21" x14ac:dyDescent="0.25">
      <c r="A53" s="342" t="s">
        <v>130</v>
      </c>
      <c r="B53" s="281" t="s">
        <v>124</v>
      </c>
      <c r="C53" s="231">
        <v>0</v>
      </c>
      <c r="D53" s="231">
        <v>0</v>
      </c>
      <c r="E53" s="231">
        <f t="shared" si="9"/>
        <v>0</v>
      </c>
      <c r="F53" s="344">
        <f t="shared" si="5"/>
        <v>0</v>
      </c>
      <c r="G53" s="232">
        <v>0</v>
      </c>
      <c r="H53" s="232">
        <v>0</v>
      </c>
      <c r="I53" s="232">
        <v>0</v>
      </c>
      <c r="J53" s="232">
        <v>0</v>
      </c>
      <c r="K53" s="232">
        <v>0</v>
      </c>
      <c r="L53" s="232">
        <v>0</v>
      </c>
      <c r="M53" s="232">
        <v>0</v>
      </c>
      <c r="N53" s="343">
        <v>0</v>
      </c>
      <c r="O53" s="232">
        <v>0</v>
      </c>
      <c r="P53" s="232">
        <v>0</v>
      </c>
      <c r="Q53" s="232">
        <v>0</v>
      </c>
      <c r="R53" s="232">
        <v>0</v>
      </c>
      <c r="S53" s="232">
        <v>0</v>
      </c>
      <c r="T53" s="231">
        <f t="shared" si="3"/>
        <v>0</v>
      </c>
      <c r="U53" s="341">
        <f t="shared" si="4"/>
        <v>0</v>
      </c>
    </row>
    <row r="54" spans="1:21" x14ac:dyDescent="0.25">
      <c r="A54" s="342" t="s">
        <v>129</v>
      </c>
      <c r="B54" s="346" t="s">
        <v>123</v>
      </c>
      <c r="C54" s="347">
        <v>0</v>
      </c>
      <c r="D54" s="231">
        <v>0</v>
      </c>
      <c r="E54" s="231">
        <f t="shared" si="9"/>
        <v>0</v>
      </c>
      <c r="F54" s="344">
        <f t="shared" si="5"/>
        <v>0</v>
      </c>
      <c r="G54" s="232">
        <v>0</v>
      </c>
      <c r="H54" s="232">
        <v>0</v>
      </c>
      <c r="I54" s="232">
        <v>0</v>
      </c>
      <c r="J54" s="232">
        <v>0</v>
      </c>
      <c r="K54" s="232">
        <v>0</v>
      </c>
      <c r="L54" s="232">
        <v>0</v>
      </c>
      <c r="M54" s="232">
        <v>0</v>
      </c>
      <c r="N54" s="232">
        <v>0</v>
      </c>
      <c r="O54" s="232">
        <v>0</v>
      </c>
      <c r="P54" s="232">
        <v>0</v>
      </c>
      <c r="Q54" s="232">
        <v>0</v>
      </c>
      <c r="R54" s="232">
        <v>0</v>
      </c>
      <c r="S54" s="232">
        <v>0</v>
      </c>
      <c r="T54" s="231">
        <f t="shared" si="3"/>
        <v>0</v>
      </c>
      <c r="U54" s="341">
        <f t="shared" si="4"/>
        <v>0</v>
      </c>
    </row>
    <row r="55" spans="1:21" x14ac:dyDescent="0.25">
      <c r="A55" s="342" t="s">
        <v>128</v>
      </c>
      <c r="B55" s="346" t="s">
        <v>122</v>
      </c>
      <c r="C55" s="347">
        <v>0</v>
      </c>
      <c r="D55" s="231">
        <v>0</v>
      </c>
      <c r="E55" s="231">
        <f t="shared" si="9"/>
        <v>0</v>
      </c>
      <c r="F55" s="344">
        <f t="shared" si="5"/>
        <v>0</v>
      </c>
      <c r="G55" s="232">
        <v>0</v>
      </c>
      <c r="H55" s="232">
        <v>0</v>
      </c>
      <c r="I55" s="232">
        <v>0</v>
      </c>
      <c r="J55" s="232">
        <v>0</v>
      </c>
      <c r="K55" s="232">
        <v>0</v>
      </c>
      <c r="L55" s="232">
        <v>0</v>
      </c>
      <c r="M55" s="232">
        <v>0</v>
      </c>
      <c r="N55" s="232">
        <v>0</v>
      </c>
      <c r="O55" s="232">
        <v>0</v>
      </c>
      <c r="P55" s="232">
        <v>0</v>
      </c>
      <c r="Q55" s="232">
        <v>0</v>
      </c>
      <c r="R55" s="232">
        <v>0</v>
      </c>
      <c r="S55" s="232">
        <v>0</v>
      </c>
      <c r="T55" s="231">
        <f t="shared" si="3"/>
        <v>0</v>
      </c>
      <c r="U55" s="341">
        <f t="shared" si="4"/>
        <v>0</v>
      </c>
    </row>
    <row r="56" spans="1:21" x14ac:dyDescent="0.25">
      <c r="A56" s="342" t="s">
        <v>127</v>
      </c>
      <c r="B56" s="346" t="s">
        <v>121</v>
      </c>
      <c r="C56" s="347">
        <v>0.52</v>
      </c>
      <c r="D56" s="231">
        <v>0</v>
      </c>
      <c r="E56" s="231">
        <f t="shared" si="9"/>
        <v>0.52</v>
      </c>
      <c r="F56" s="344">
        <f t="shared" si="5"/>
        <v>0.52</v>
      </c>
      <c r="G56" s="232">
        <v>0</v>
      </c>
      <c r="H56" s="232">
        <v>0</v>
      </c>
      <c r="I56" s="232">
        <v>0</v>
      </c>
      <c r="J56" s="232">
        <v>0</v>
      </c>
      <c r="K56" s="232">
        <v>0</v>
      </c>
      <c r="L56" s="232">
        <v>0</v>
      </c>
      <c r="M56" s="232">
        <v>0</v>
      </c>
      <c r="N56" s="232">
        <v>0</v>
      </c>
      <c r="O56" s="232">
        <v>0</v>
      </c>
      <c r="P56" s="232">
        <v>0.52</v>
      </c>
      <c r="Q56" s="232">
        <v>0</v>
      </c>
      <c r="R56" s="232">
        <v>0</v>
      </c>
      <c r="S56" s="232">
        <v>0</v>
      </c>
      <c r="T56" s="231">
        <f t="shared" si="3"/>
        <v>0.52</v>
      </c>
      <c r="U56" s="341">
        <f t="shared" si="4"/>
        <v>0</v>
      </c>
    </row>
    <row r="57" spans="1:21" ht="18.75" x14ac:dyDescent="0.25">
      <c r="A57" s="342" t="s">
        <v>126</v>
      </c>
      <c r="B57" s="346" t="s">
        <v>120</v>
      </c>
      <c r="C57" s="347">
        <v>0</v>
      </c>
      <c r="D57" s="231">
        <v>0</v>
      </c>
      <c r="E57" s="231">
        <f t="shared" si="9"/>
        <v>0</v>
      </c>
      <c r="F57" s="344">
        <f t="shared" si="5"/>
        <v>0</v>
      </c>
      <c r="G57" s="232">
        <v>0</v>
      </c>
      <c r="H57" s="232">
        <v>0</v>
      </c>
      <c r="I57" s="232">
        <v>0</v>
      </c>
      <c r="J57" s="232">
        <v>0</v>
      </c>
      <c r="K57" s="232">
        <v>0</v>
      </c>
      <c r="L57" s="232">
        <v>0</v>
      </c>
      <c r="M57" s="232">
        <v>0</v>
      </c>
      <c r="N57" s="232">
        <v>0</v>
      </c>
      <c r="O57" s="232">
        <v>0</v>
      </c>
      <c r="P57" s="232">
        <v>0</v>
      </c>
      <c r="Q57" s="232">
        <v>0</v>
      </c>
      <c r="R57" s="232">
        <v>0</v>
      </c>
      <c r="S57" s="232">
        <v>0</v>
      </c>
      <c r="T57" s="231">
        <f t="shared" si="3"/>
        <v>0</v>
      </c>
      <c r="U57" s="341">
        <f t="shared" si="4"/>
        <v>0</v>
      </c>
    </row>
    <row r="58" spans="1:21" s="126" customFormat="1" ht="36.75" customHeight="1" x14ac:dyDescent="0.25">
      <c r="A58" s="339" t="s">
        <v>55</v>
      </c>
      <c r="B58" s="348" t="s">
        <v>201</v>
      </c>
      <c r="C58" s="347">
        <v>0</v>
      </c>
      <c r="D58" s="231">
        <v>0</v>
      </c>
      <c r="E58" s="231">
        <f t="shared" si="9"/>
        <v>0</v>
      </c>
      <c r="F58" s="344">
        <f t="shared" si="5"/>
        <v>0</v>
      </c>
      <c r="G58" s="231">
        <v>0</v>
      </c>
      <c r="H58" s="231">
        <v>0</v>
      </c>
      <c r="I58" s="231">
        <v>0</v>
      </c>
      <c r="J58" s="231">
        <v>0</v>
      </c>
      <c r="K58" s="231">
        <v>0</v>
      </c>
      <c r="L58" s="231">
        <v>0</v>
      </c>
      <c r="M58" s="231">
        <v>0</v>
      </c>
      <c r="N58" s="345">
        <v>0</v>
      </c>
      <c r="O58" s="231">
        <v>0</v>
      </c>
      <c r="P58" s="231">
        <v>0</v>
      </c>
      <c r="Q58" s="231">
        <v>0</v>
      </c>
      <c r="R58" s="231">
        <v>0</v>
      </c>
      <c r="S58" s="231">
        <v>0</v>
      </c>
      <c r="T58" s="231">
        <f t="shared" si="3"/>
        <v>0</v>
      </c>
      <c r="U58" s="341">
        <f t="shared" si="4"/>
        <v>0</v>
      </c>
    </row>
    <row r="59" spans="1:21" s="126" customFormat="1" x14ac:dyDescent="0.25">
      <c r="A59" s="339" t="s">
        <v>53</v>
      </c>
      <c r="B59" s="340" t="s">
        <v>125</v>
      </c>
      <c r="C59" s="231">
        <v>0</v>
      </c>
      <c r="D59" s="231">
        <v>0</v>
      </c>
      <c r="E59" s="231">
        <f t="shared" si="9"/>
        <v>0</v>
      </c>
      <c r="F59" s="344">
        <f t="shared" si="5"/>
        <v>0</v>
      </c>
      <c r="G59" s="231">
        <v>0</v>
      </c>
      <c r="H59" s="231">
        <v>0</v>
      </c>
      <c r="I59" s="231">
        <v>0</v>
      </c>
      <c r="J59" s="231">
        <v>0</v>
      </c>
      <c r="K59" s="231">
        <v>0</v>
      </c>
      <c r="L59" s="231">
        <v>0</v>
      </c>
      <c r="M59" s="231">
        <v>0</v>
      </c>
      <c r="N59" s="345">
        <v>0</v>
      </c>
      <c r="O59" s="231">
        <v>0</v>
      </c>
      <c r="P59" s="231">
        <v>0</v>
      </c>
      <c r="Q59" s="231">
        <v>0</v>
      </c>
      <c r="R59" s="231">
        <v>0</v>
      </c>
      <c r="S59" s="231">
        <v>0</v>
      </c>
      <c r="T59" s="231">
        <f t="shared" si="3"/>
        <v>0</v>
      </c>
      <c r="U59" s="341">
        <f t="shared" si="4"/>
        <v>0</v>
      </c>
    </row>
    <row r="60" spans="1:21" x14ac:dyDescent="0.25">
      <c r="A60" s="342" t="s">
        <v>195</v>
      </c>
      <c r="B60" s="57" t="s">
        <v>146</v>
      </c>
      <c r="C60" s="349">
        <v>0</v>
      </c>
      <c r="D60" s="231">
        <v>0</v>
      </c>
      <c r="E60" s="231">
        <f t="shared" si="9"/>
        <v>0</v>
      </c>
      <c r="F60" s="344">
        <f t="shared" si="5"/>
        <v>0</v>
      </c>
      <c r="G60" s="232">
        <v>0</v>
      </c>
      <c r="H60" s="232">
        <v>0</v>
      </c>
      <c r="I60" s="232">
        <v>0</v>
      </c>
      <c r="J60" s="232">
        <v>0</v>
      </c>
      <c r="K60" s="232">
        <v>0</v>
      </c>
      <c r="L60" s="232">
        <v>0</v>
      </c>
      <c r="M60" s="232">
        <v>0</v>
      </c>
      <c r="N60" s="232">
        <v>0</v>
      </c>
      <c r="O60" s="232">
        <v>0</v>
      </c>
      <c r="P60" s="232">
        <v>0</v>
      </c>
      <c r="Q60" s="232">
        <v>0</v>
      </c>
      <c r="R60" s="232">
        <v>0</v>
      </c>
      <c r="S60" s="232">
        <v>0</v>
      </c>
      <c r="T60" s="231">
        <f t="shared" si="3"/>
        <v>0</v>
      </c>
      <c r="U60" s="341">
        <f t="shared" si="4"/>
        <v>0</v>
      </c>
    </row>
    <row r="61" spans="1:21" x14ac:dyDescent="0.25">
      <c r="A61" s="342" t="s">
        <v>196</v>
      </c>
      <c r="B61" s="57" t="s">
        <v>144</v>
      </c>
      <c r="C61" s="349">
        <v>0</v>
      </c>
      <c r="D61" s="231">
        <v>0</v>
      </c>
      <c r="E61" s="231">
        <f t="shared" si="9"/>
        <v>0</v>
      </c>
      <c r="F61" s="344">
        <f t="shared" si="5"/>
        <v>0</v>
      </c>
      <c r="G61" s="232">
        <v>0</v>
      </c>
      <c r="H61" s="232">
        <v>0</v>
      </c>
      <c r="I61" s="232">
        <v>0</v>
      </c>
      <c r="J61" s="232">
        <v>0</v>
      </c>
      <c r="K61" s="232">
        <v>0</v>
      </c>
      <c r="L61" s="232">
        <v>0</v>
      </c>
      <c r="M61" s="232">
        <v>0</v>
      </c>
      <c r="N61" s="232">
        <v>0</v>
      </c>
      <c r="O61" s="232">
        <v>0</v>
      </c>
      <c r="P61" s="232">
        <v>0</v>
      </c>
      <c r="Q61" s="232">
        <v>0</v>
      </c>
      <c r="R61" s="232">
        <v>0</v>
      </c>
      <c r="S61" s="232">
        <v>0</v>
      </c>
      <c r="T61" s="231">
        <f t="shared" si="3"/>
        <v>0</v>
      </c>
      <c r="U61" s="341">
        <f t="shared" si="4"/>
        <v>0</v>
      </c>
    </row>
    <row r="62" spans="1:21" x14ac:dyDescent="0.25">
      <c r="A62" s="342" t="s">
        <v>197</v>
      </c>
      <c r="B62" s="57" t="s">
        <v>142</v>
      </c>
      <c r="C62" s="349">
        <v>0</v>
      </c>
      <c r="D62" s="231">
        <v>0</v>
      </c>
      <c r="E62" s="231">
        <f t="shared" si="9"/>
        <v>0</v>
      </c>
      <c r="F62" s="344">
        <f t="shared" si="5"/>
        <v>0</v>
      </c>
      <c r="G62" s="232">
        <v>0</v>
      </c>
      <c r="H62" s="232">
        <v>0</v>
      </c>
      <c r="I62" s="232">
        <v>0</v>
      </c>
      <c r="J62" s="232">
        <v>0</v>
      </c>
      <c r="K62" s="232">
        <v>0</v>
      </c>
      <c r="L62" s="232">
        <v>0</v>
      </c>
      <c r="M62" s="232">
        <v>0</v>
      </c>
      <c r="N62" s="232">
        <v>0</v>
      </c>
      <c r="O62" s="232">
        <v>0</v>
      </c>
      <c r="P62" s="232">
        <v>0</v>
      </c>
      <c r="Q62" s="232">
        <v>0</v>
      </c>
      <c r="R62" s="232">
        <v>0</v>
      </c>
      <c r="S62" s="232">
        <v>0</v>
      </c>
      <c r="T62" s="231">
        <f t="shared" si="3"/>
        <v>0</v>
      </c>
      <c r="U62" s="341">
        <f t="shared" si="4"/>
        <v>0</v>
      </c>
    </row>
    <row r="63" spans="1:21" x14ac:dyDescent="0.25">
      <c r="A63" s="342" t="s">
        <v>198</v>
      </c>
      <c r="B63" s="57" t="s">
        <v>200</v>
      </c>
      <c r="C63" s="349">
        <v>0.52</v>
      </c>
      <c r="D63" s="231">
        <v>0</v>
      </c>
      <c r="E63" s="231">
        <f t="shared" si="9"/>
        <v>0.52</v>
      </c>
      <c r="F63" s="344">
        <f t="shared" si="5"/>
        <v>0.52</v>
      </c>
      <c r="G63" s="232">
        <v>0</v>
      </c>
      <c r="H63" s="232">
        <v>0</v>
      </c>
      <c r="I63" s="232">
        <v>0</v>
      </c>
      <c r="J63" s="232">
        <v>0</v>
      </c>
      <c r="K63" s="232">
        <v>0</v>
      </c>
      <c r="L63" s="232">
        <v>0</v>
      </c>
      <c r="M63" s="232">
        <v>0</v>
      </c>
      <c r="N63" s="232">
        <v>0</v>
      </c>
      <c r="O63" s="232">
        <v>0</v>
      </c>
      <c r="P63" s="232">
        <v>0.52</v>
      </c>
      <c r="Q63" s="232">
        <v>0</v>
      </c>
      <c r="R63" s="232">
        <v>0</v>
      </c>
      <c r="S63" s="232">
        <v>0</v>
      </c>
      <c r="T63" s="231">
        <f t="shared" si="3"/>
        <v>0.52</v>
      </c>
      <c r="U63" s="341">
        <f t="shared" si="4"/>
        <v>0</v>
      </c>
    </row>
    <row r="64" spans="1:21" ht="18.75" x14ac:dyDescent="0.25">
      <c r="A64" s="342" t="s">
        <v>199</v>
      </c>
      <c r="B64" s="346" t="s">
        <v>120</v>
      </c>
      <c r="C64" s="347">
        <v>0</v>
      </c>
      <c r="D64" s="231">
        <v>0</v>
      </c>
      <c r="E64" s="231">
        <f t="shared" si="9"/>
        <v>0</v>
      </c>
      <c r="F64" s="344">
        <f t="shared" si="5"/>
        <v>0</v>
      </c>
      <c r="G64" s="232">
        <v>0</v>
      </c>
      <c r="H64" s="232">
        <v>0</v>
      </c>
      <c r="I64" s="232">
        <v>0</v>
      </c>
      <c r="J64" s="232">
        <v>0</v>
      </c>
      <c r="K64" s="232">
        <v>0</v>
      </c>
      <c r="L64" s="232">
        <v>0</v>
      </c>
      <c r="M64" s="232">
        <v>0</v>
      </c>
      <c r="N64" s="232">
        <v>0</v>
      </c>
      <c r="O64" s="232">
        <v>0</v>
      </c>
      <c r="P64" s="232">
        <v>0</v>
      </c>
      <c r="Q64" s="232">
        <v>0</v>
      </c>
      <c r="R64" s="232">
        <v>0</v>
      </c>
      <c r="S64" s="232">
        <v>0</v>
      </c>
      <c r="T64" s="231">
        <f t="shared" si="3"/>
        <v>0</v>
      </c>
      <c r="U64" s="341">
        <f t="shared" si="4"/>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473"/>
      <c r="C66" s="473"/>
      <c r="D66" s="473"/>
      <c r="E66" s="473"/>
      <c r="F66" s="473"/>
      <c r="G66" s="473"/>
      <c r="H66" s="473"/>
      <c r="I66" s="473"/>
      <c r="J66" s="473"/>
      <c r="K66" s="473"/>
      <c r="L66" s="473"/>
      <c r="M66" s="473"/>
      <c r="N66" s="473"/>
      <c r="O66" s="473"/>
      <c r="P66" s="473"/>
      <c r="Q66" s="473"/>
      <c r="R66" s="318"/>
      <c r="S66" s="318"/>
      <c r="T66" s="54"/>
    </row>
    <row r="67" spans="1:20" x14ac:dyDescent="0.25">
      <c r="A67" s="51"/>
      <c r="B67" s="51"/>
      <c r="C67" s="51"/>
      <c r="D67" s="51"/>
      <c r="E67" s="51"/>
      <c r="F67" s="51"/>
      <c r="T67" s="51"/>
    </row>
    <row r="68" spans="1:20" ht="50.25" customHeight="1" x14ac:dyDescent="0.25">
      <c r="A68" s="51"/>
      <c r="B68" s="476"/>
      <c r="C68" s="476"/>
      <c r="D68" s="476"/>
      <c r="E68" s="476"/>
      <c r="F68" s="476"/>
      <c r="G68" s="476"/>
      <c r="H68" s="476"/>
      <c r="I68" s="476"/>
      <c r="J68" s="476"/>
      <c r="K68" s="476"/>
      <c r="L68" s="476"/>
      <c r="M68" s="476"/>
      <c r="N68" s="476"/>
      <c r="O68" s="476"/>
      <c r="P68" s="476"/>
      <c r="Q68" s="476"/>
      <c r="R68" s="319"/>
      <c r="S68" s="319"/>
      <c r="T68" s="51"/>
    </row>
    <row r="69" spans="1:20" x14ac:dyDescent="0.25">
      <c r="A69" s="51"/>
      <c r="B69" s="51"/>
      <c r="C69" s="51"/>
      <c r="D69" s="51"/>
      <c r="E69" s="51"/>
      <c r="F69" s="51"/>
      <c r="T69" s="51"/>
    </row>
    <row r="70" spans="1:20" ht="36.75" customHeight="1" x14ac:dyDescent="0.25">
      <c r="A70" s="51"/>
      <c r="B70" s="473"/>
      <c r="C70" s="473"/>
      <c r="D70" s="473"/>
      <c r="E70" s="473"/>
      <c r="F70" s="473"/>
      <c r="G70" s="473"/>
      <c r="H70" s="473"/>
      <c r="I70" s="473"/>
      <c r="J70" s="473"/>
      <c r="K70" s="473"/>
      <c r="L70" s="473"/>
      <c r="M70" s="473"/>
      <c r="N70" s="473"/>
      <c r="O70" s="473"/>
      <c r="P70" s="473"/>
      <c r="Q70" s="473"/>
      <c r="R70" s="318"/>
      <c r="S70" s="318"/>
      <c r="T70" s="51"/>
    </row>
    <row r="71" spans="1:20" x14ac:dyDescent="0.25">
      <c r="A71" s="51"/>
      <c r="B71" s="53"/>
      <c r="C71" s="53"/>
      <c r="D71" s="53"/>
      <c r="E71" s="53"/>
      <c r="F71" s="53"/>
      <c r="T71" s="51"/>
    </row>
    <row r="72" spans="1:20" ht="51" customHeight="1" x14ac:dyDescent="0.25">
      <c r="A72" s="51"/>
      <c r="B72" s="473"/>
      <c r="C72" s="473"/>
      <c r="D72" s="473"/>
      <c r="E72" s="473"/>
      <c r="F72" s="473"/>
      <c r="G72" s="473"/>
      <c r="H72" s="473"/>
      <c r="I72" s="473"/>
      <c r="J72" s="473"/>
      <c r="K72" s="473"/>
      <c r="L72" s="473"/>
      <c r="M72" s="473"/>
      <c r="N72" s="473"/>
      <c r="O72" s="473"/>
      <c r="P72" s="473"/>
      <c r="Q72" s="473"/>
      <c r="R72" s="318"/>
      <c r="S72" s="318"/>
      <c r="T72" s="51"/>
    </row>
    <row r="73" spans="1:20" ht="32.25" customHeight="1" x14ac:dyDescent="0.25">
      <c r="A73" s="51"/>
      <c r="B73" s="476"/>
      <c r="C73" s="476"/>
      <c r="D73" s="476"/>
      <c r="E73" s="476"/>
      <c r="F73" s="476"/>
      <c r="G73" s="476"/>
      <c r="H73" s="476"/>
      <c r="I73" s="476"/>
      <c r="J73" s="476"/>
      <c r="K73" s="476"/>
      <c r="L73" s="476"/>
      <c r="M73" s="476"/>
      <c r="N73" s="476"/>
      <c r="O73" s="476"/>
      <c r="P73" s="476"/>
      <c r="Q73" s="476"/>
      <c r="R73" s="319"/>
      <c r="S73" s="319"/>
      <c r="T73" s="51"/>
    </row>
    <row r="74" spans="1:20" ht="51.75" customHeight="1" x14ac:dyDescent="0.25">
      <c r="A74" s="51"/>
      <c r="B74" s="473"/>
      <c r="C74" s="473"/>
      <c r="D74" s="473"/>
      <c r="E74" s="473"/>
      <c r="F74" s="473"/>
      <c r="G74" s="473"/>
      <c r="H74" s="473"/>
      <c r="I74" s="473"/>
      <c r="J74" s="473"/>
      <c r="K74" s="473"/>
      <c r="L74" s="473"/>
      <c r="M74" s="473"/>
      <c r="N74" s="473"/>
      <c r="O74" s="473"/>
      <c r="P74" s="473"/>
      <c r="Q74" s="473"/>
      <c r="R74" s="318"/>
      <c r="S74" s="318"/>
      <c r="T74" s="51"/>
    </row>
    <row r="75" spans="1:20" ht="21.75" customHeight="1" x14ac:dyDescent="0.25">
      <c r="A75" s="51"/>
      <c r="B75" s="474"/>
      <c r="C75" s="474"/>
      <c r="D75" s="474"/>
      <c r="E75" s="474"/>
      <c r="F75" s="474"/>
      <c r="G75" s="474"/>
      <c r="H75" s="474"/>
      <c r="I75" s="474"/>
      <c r="J75" s="474"/>
      <c r="K75" s="474"/>
      <c r="L75" s="474"/>
      <c r="M75" s="474"/>
      <c r="N75" s="474"/>
      <c r="O75" s="474"/>
      <c r="P75" s="474"/>
      <c r="Q75" s="474"/>
      <c r="R75" s="316"/>
      <c r="S75" s="316"/>
      <c r="T75" s="51"/>
    </row>
    <row r="76" spans="1:20" ht="23.25" customHeight="1" x14ac:dyDescent="0.25">
      <c r="A76" s="51"/>
      <c r="B76" s="52"/>
      <c r="C76" s="52"/>
      <c r="D76" s="52"/>
      <c r="E76" s="52"/>
      <c r="F76" s="52"/>
      <c r="T76" s="51"/>
    </row>
    <row r="77" spans="1:20" ht="18.75" customHeight="1" x14ac:dyDescent="0.25">
      <c r="A77" s="51"/>
      <c r="B77" s="475"/>
      <c r="C77" s="475"/>
      <c r="D77" s="475"/>
      <c r="E77" s="475"/>
      <c r="F77" s="475"/>
      <c r="G77" s="475"/>
      <c r="H77" s="475"/>
      <c r="I77" s="475"/>
      <c r="J77" s="475"/>
      <c r="K77" s="475"/>
      <c r="L77" s="475"/>
      <c r="M77" s="475"/>
      <c r="N77" s="475"/>
      <c r="O77" s="475"/>
      <c r="P77" s="475"/>
      <c r="Q77" s="475"/>
      <c r="R77" s="317"/>
      <c r="S77" s="317"/>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B75:Q75"/>
    <mergeCell ref="B77:Q77"/>
    <mergeCell ref="B66:Q66"/>
    <mergeCell ref="B68:Q68"/>
    <mergeCell ref="B70:Q70"/>
    <mergeCell ref="B72:Q72"/>
    <mergeCell ref="B73:Q73"/>
    <mergeCell ref="G20:G22"/>
    <mergeCell ref="H21:I21"/>
    <mergeCell ref="H20:K20"/>
    <mergeCell ref="J21:K21"/>
    <mergeCell ref="B74:Q74"/>
    <mergeCell ref="A4:U4"/>
    <mergeCell ref="A6:U6"/>
    <mergeCell ref="A8:U8"/>
    <mergeCell ref="A9:U9"/>
    <mergeCell ref="A11:U11"/>
    <mergeCell ref="A12:U12"/>
    <mergeCell ref="B20:B22"/>
    <mergeCell ref="P20:S20"/>
    <mergeCell ref="P21:Q21"/>
    <mergeCell ref="R21:S21"/>
    <mergeCell ref="A14:U14"/>
    <mergeCell ref="A15:U15"/>
    <mergeCell ref="A16:U16"/>
    <mergeCell ref="A18:U18"/>
    <mergeCell ref="T20:U21"/>
    <mergeCell ref="C20:D21"/>
    <mergeCell ref="A20:A22"/>
    <mergeCell ref="E20:F21"/>
    <mergeCell ref="L20:O20"/>
    <mergeCell ref="L21:M21"/>
    <mergeCell ref="N21:O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N26" sqref="N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381" t="str">
        <f>'6.2. Паспорт фин осв ввод'!A4</f>
        <v>Год раскрытия информации: 2023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18.75" x14ac:dyDescent="0.3">
      <c r="AV6" s="13"/>
    </row>
    <row r="7" spans="1:48" ht="18.75" x14ac:dyDescent="0.25">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ht="15.75" x14ac:dyDescent="0.25">
      <c r="A9" s="391" t="str">
        <f>'6.2. Паспорт фин осв ввод'!A8</f>
        <v>Акционерное общество "Россети Янтарь"</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7" t="s">
        <v>5</v>
      </c>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7"/>
      <c r="AJ10" s="387"/>
      <c r="AK10" s="387"/>
      <c r="AL10" s="387"/>
      <c r="AM10" s="387"/>
      <c r="AN10" s="387"/>
      <c r="AO10" s="387"/>
      <c r="AP10" s="387"/>
      <c r="AQ10" s="387"/>
      <c r="AR10" s="387"/>
      <c r="AS10" s="387"/>
      <c r="AT10" s="387"/>
      <c r="AU10" s="387"/>
      <c r="AV10" s="387"/>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ht="15.75" x14ac:dyDescent="0.25">
      <c r="A12" s="391" t="str">
        <f>'6.2. Паспорт фин осв ввод'!A11</f>
        <v>L_19-0964</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7" t="s">
        <v>4</v>
      </c>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c r="AI13" s="387"/>
      <c r="AJ13" s="387"/>
      <c r="AK13" s="387"/>
      <c r="AL13" s="387"/>
      <c r="AM13" s="387"/>
      <c r="AN13" s="387"/>
      <c r="AO13" s="387"/>
      <c r="AP13" s="387"/>
      <c r="AQ13" s="387"/>
      <c r="AR13" s="387"/>
      <c r="AS13" s="387"/>
      <c r="AT13" s="387"/>
      <c r="AU13" s="387"/>
      <c r="AV13" s="387"/>
    </row>
    <row r="14" spans="1:48" ht="18.75" x14ac:dyDescent="0.25">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2"/>
      <c r="AS14" s="392"/>
      <c r="AT14" s="392"/>
      <c r="AU14" s="392"/>
      <c r="AV14" s="392"/>
    </row>
    <row r="15" spans="1:48" ht="15.75" x14ac:dyDescent="0.25">
      <c r="A15" s="386" t="str">
        <f>'6.2. Паспорт фин осв ввод'!A14</f>
        <v>Строительство КЛ 15 кВ взамен существующей ВЛ 15 кВ № 15-82 (инв. № 5114524) протяженностью 0,52 км в Полесском районе</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87" t="s">
        <v>3</v>
      </c>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c r="AO16" s="387"/>
      <c r="AP16" s="387"/>
      <c r="AQ16" s="387"/>
      <c r="AR16" s="387"/>
      <c r="AS16" s="387"/>
      <c r="AT16" s="387"/>
      <c r="AU16" s="387"/>
      <c r="AV16" s="387"/>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0"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0" customFormat="1" x14ac:dyDescent="0.25">
      <c r="A21" s="477" t="s">
        <v>380</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0" customFormat="1" ht="58.5" customHeight="1" x14ac:dyDescent="0.25">
      <c r="A22" s="478" t="s">
        <v>49</v>
      </c>
      <c r="B22" s="481" t="s">
        <v>21</v>
      </c>
      <c r="C22" s="478" t="s">
        <v>48</v>
      </c>
      <c r="D22" s="478" t="s">
        <v>47</v>
      </c>
      <c r="E22" s="484" t="s">
        <v>390</v>
      </c>
      <c r="F22" s="485"/>
      <c r="G22" s="485"/>
      <c r="H22" s="485"/>
      <c r="I22" s="485"/>
      <c r="J22" s="485"/>
      <c r="K22" s="485"/>
      <c r="L22" s="486"/>
      <c r="M22" s="478" t="s">
        <v>46</v>
      </c>
      <c r="N22" s="478" t="s">
        <v>45</v>
      </c>
      <c r="O22" s="478" t="s">
        <v>44</v>
      </c>
      <c r="P22" s="487" t="s">
        <v>208</v>
      </c>
      <c r="Q22" s="487" t="s">
        <v>43</v>
      </c>
      <c r="R22" s="487" t="s">
        <v>42</v>
      </c>
      <c r="S22" s="487" t="s">
        <v>41</v>
      </c>
      <c r="T22" s="487"/>
      <c r="U22" s="488" t="s">
        <v>40</v>
      </c>
      <c r="V22" s="488" t="s">
        <v>39</v>
      </c>
      <c r="W22" s="487" t="s">
        <v>38</v>
      </c>
      <c r="X22" s="487" t="s">
        <v>37</v>
      </c>
      <c r="Y22" s="487" t="s">
        <v>36</v>
      </c>
      <c r="Z22" s="501" t="s">
        <v>35</v>
      </c>
      <c r="AA22" s="487" t="s">
        <v>34</v>
      </c>
      <c r="AB22" s="487" t="s">
        <v>33</v>
      </c>
      <c r="AC22" s="487" t="s">
        <v>32</v>
      </c>
      <c r="AD22" s="487" t="s">
        <v>31</v>
      </c>
      <c r="AE22" s="487" t="s">
        <v>30</v>
      </c>
      <c r="AF22" s="487" t="s">
        <v>29</v>
      </c>
      <c r="AG22" s="487"/>
      <c r="AH22" s="487"/>
      <c r="AI22" s="487"/>
      <c r="AJ22" s="487"/>
      <c r="AK22" s="487"/>
      <c r="AL22" s="487" t="s">
        <v>28</v>
      </c>
      <c r="AM22" s="487"/>
      <c r="AN22" s="487"/>
      <c r="AO22" s="487"/>
      <c r="AP22" s="487" t="s">
        <v>27</v>
      </c>
      <c r="AQ22" s="487"/>
      <c r="AR22" s="487" t="s">
        <v>26</v>
      </c>
      <c r="AS22" s="487" t="s">
        <v>25</v>
      </c>
      <c r="AT22" s="487" t="s">
        <v>24</v>
      </c>
      <c r="AU22" s="487" t="s">
        <v>23</v>
      </c>
      <c r="AV22" s="491" t="s">
        <v>22</v>
      </c>
    </row>
    <row r="23" spans="1:48" s="20" customFormat="1" ht="64.5" customHeight="1" x14ac:dyDescent="0.25">
      <c r="A23" s="479"/>
      <c r="B23" s="482"/>
      <c r="C23" s="479"/>
      <c r="D23" s="479"/>
      <c r="E23" s="493" t="s">
        <v>20</v>
      </c>
      <c r="F23" s="495" t="s">
        <v>124</v>
      </c>
      <c r="G23" s="495" t="s">
        <v>123</v>
      </c>
      <c r="H23" s="495" t="s">
        <v>122</v>
      </c>
      <c r="I23" s="499" t="s">
        <v>327</v>
      </c>
      <c r="J23" s="499" t="s">
        <v>328</v>
      </c>
      <c r="K23" s="499" t="s">
        <v>329</v>
      </c>
      <c r="L23" s="495" t="s">
        <v>73</v>
      </c>
      <c r="M23" s="479"/>
      <c r="N23" s="479"/>
      <c r="O23" s="479"/>
      <c r="P23" s="487"/>
      <c r="Q23" s="487"/>
      <c r="R23" s="487"/>
      <c r="S23" s="497" t="s">
        <v>1</v>
      </c>
      <c r="T23" s="497" t="s">
        <v>8</v>
      </c>
      <c r="U23" s="488"/>
      <c r="V23" s="488"/>
      <c r="W23" s="487"/>
      <c r="X23" s="487"/>
      <c r="Y23" s="487"/>
      <c r="Z23" s="487"/>
      <c r="AA23" s="487"/>
      <c r="AB23" s="487"/>
      <c r="AC23" s="487"/>
      <c r="AD23" s="487"/>
      <c r="AE23" s="487"/>
      <c r="AF23" s="487" t="s">
        <v>19</v>
      </c>
      <c r="AG23" s="487"/>
      <c r="AH23" s="487" t="s">
        <v>18</v>
      </c>
      <c r="AI23" s="487"/>
      <c r="AJ23" s="478" t="s">
        <v>17</v>
      </c>
      <c r="AK23" s="478" t="s">
        <v>16</v>
      </c>
      <c r="AL23" s="478" t="s">
        <v>15</v>
      </c>
      <c r="AM23" s="478" t="s">
        <v>14</v>
      </c>
      <c r="AN23" s="478" t="s">
        <v>13</v>
      </c>
      <c r="AO23" s="478" t="s">
        <v>12</v>
      </c>
      <c r="AP23" s="478" t="s">
        <v>11</v>
      </c>
      <c r="AQ23" s="489" t="s">
        <v>8</v>
      </c>
      <c r="AR23" s="487"/>
      <c r="AS23" s="487"/>
      <c r="AT23" s="487"/>
      <c r="AU23" s="487"/>
      <c r="AV23" s="492"/>
    </row>
    <row r="24" spans="1:48" s="20" customFormat="1" ht="96.75" customHeight="1" x14ac:dyDescent="0.25">
      <c r="A24" s="480"/>
      <c r="B24" s="483"/>
      <c r="C24" s="480"/>
      <c r="D24" s="480"/>
      <c r="E24" s="494"/>
      <c r="F24" s="496"/>
      <c r="G24" s="496"/>
      <c r="H24" s="496"/>
      <c r="I24" s="500"/>
      <c r="J24" s="500"/>
      <c r="K24" s="500"/>
      <c r="L24" s="496"/>
      <c r="M24" s="480"/>
      <c r="N24" s="480"/>
      <c r="O24" s="480"/>
      <c r="P24" s="487"/>
      <c r="Q24" s="487"/>
      <c r="R24" s="487"/>
      <c r="S24" s="498"/>
      <c r="T24" s="498"/>
      <c r="U24" s="488"/>
      <c r="V24" s="488"/>
      <c r="W24" s="487"/>
      <c r="X24" s="487"/>
      <c r="Y24" s="487"/>
      <c r="Z24" s="487"/>
      <c r="AA24" s="487"/>
      <c r="AB24" s="487"/>
      <c r="AC24" s="487"/>
      <c r="AD24" s="487"/>
      <c r="AE24" s="487"/>
      <c r="AF24" s="89" t="s">
        <v>10</v>
      </c>
      <c r="AG24" s="89" t="s">
        <v>9</v>
      </c>
      <c r="AH24" s="90" t="s">
        <v>1</v>
      </c>
      <c r="AI24" s="90" t="s">
        <v>8</v>
      </c>
      <c r="AJ24" s="480"/>
      <c r="AK24" s="480"/>
      <c r="AL24" s="480"/>
      <c r="AM24" s="480"/>
      <c r="AN24" s="480"/>
      <c r="AO24" s="480"/>
      <c r="AP24" s="480"/>
      <c r="AQ24" s="490"/>
      <c r="AR24" s="487"/>
      <c r="AS24" s="487"/>
      <c r="AT24" s="487"/>
      <c r="AU24" s="487"/>
      <c r="AV24" s="492"/>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50">
        <v>1</v>
      </c>
      <c r="B26" s="351" t="s">
        <v>565</v>
      </c>
      <c r="C26" s="351" t="s">
        <v>60</v>
      </c>
      <c r="D26" s="352">
        <f>'6.1. Паспорт сетевой график'!H53</f>
        <v>45291</v>
      </c>
      <c r="E26" s="353"/>
      <c r="F26" s="354"/>
      <c r="G26" s="354">
        <f>'6.2. Паспорт фин осв ввод'!C37</f>
        <v>0</v>
      </c>
      <c r="H26" s="354"/>
      <c r="I26" s="354">
        <f>'6.2. Паспорт фин осв ввод'!C39</f>
        <v>0</v>
      </c>
      <c r="J26" s="354">
        <f>'6.2. Паспорт фин осв ввод'!C40</f>
        <v>0</v>
      </c>
      <c r="K26" s="354">
        <f>'6.2. Паспорт фин осв ввод'!C41</f>
        <v>0.52</v>
      </c>
      <c r="L26" s="353"/>
      <c r="M26" s="355"/>
      <c r="N26" s="355"/>
      <c r="O26" s="355" t="s">
        <v>565</v>
      </c>
      <c r="P26" s="356"/>
      <c r="Q26" s="355"/>
      <c r="R26" s="356"/>
      <c r="S26" s="355"/>
      <c r="T26" s="355"/>
      <c r="U26" s="353"/>
      <c r="V26" s="353"/>
      <c r="W26" s="355"/>
      <c r="X26" s="356"/>
      <c r="Y26" s="355"/>
      <c r="Z26" s="357"/>
      <c r="AA26" s="356"/>
      <c r="AB26" s="356"/>
      <c r="AC26" s="356"/>
      <c r="AD26" s="356"/>
      <c r="AE26" s="356"/>
      <c r="AF26" s="353"/>
      <c r="AG26" s="355"/>
      <c r="AH26" s="357"/>
      <c r="AI26" s="357"/>
      <c r="AJ26" s="357"/>
      <c r="AK26" s="357"/>
      <c r="AL26" s="355"/>
      <c r="AM26" s="355"/>
      <c r="AN26" s="357"/>
      <c r="AO26" s="355"/>
      <c r="AP26" s="357"/>
      <c r="AQ26" s="357"/>
      <c r="AR26" s="357"/>
      <c r="AS26" s="357"/>
      <c r="AT26" s="357"/>
      <c r="AU26" s="355"/>
      <c r="AV26" s="35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3" zoomScale="80" zoomScaleNormal="90" zoomScaleSheetLayoutView="80" workbookViewId="0">
      <selection activeCell="B28" sqref="B28"/>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5" t="s">
        <v>65</v>
      </c>
    </row>
    <row r="2" spans="1:8" ht="18.75" x14ac:dyDescent="0.3">
      <c r="B2" s="13" t="s">
        <v>7</v>
      </c>
    </row>
    <row r="3" spans="1:8" ht="18.75" x14ac:dyDescent="0.3">
      <c r="B3" s="13" t="s">
        <v>397</v>
      </c>
    </row>
    <row r="4" spans="1:8" x14ac:dyDescent="0.25">
      <c r="B4" s="38"/>
    </row>
    <row r="5" spans="1:8" ht="18.75" x14ac:dyDescent="0.3">
      <c r="A5" s="505" t="str">
        <f>'1. паспорт местоположение'!A5:C5</f>
        <v>Год раскрытия информации: 2023 год</v>
      </c>
      <c r="B5" s="505"/>
      <c r="C5" s="61"/>
      <c r="D5" s="61"/>
      <c r="E5" s="61"/>
      <c r="F5" s="61"/>
      <c r="G5" s="61"/>
      <c r="H5" s="61"/>
    </row>
    <row r="6" spans="1:8" ht="18.75" x14ac:dyDescent="0.3">
      <c r="A6" s="320"/>
      <c r="B6" s="320"/>
      <c r="C6" s="320"/>
      <c r="D6" s="320"/>
      <c r="E6" s="320"/>
      <c r="F6" s="320"/>
      <c r="G6" s="320"/>
      <c r="H6" s="320"/>
    </row>
    <row r="7" spans="1:8" ht="18.75" x14ac:dyDescent="0.25">
      <c r="A7" s="431" t="s">
        <v>6</v>
      </c>
      <c r="B7" s="431"/>
      <c r="C7" s="93"/>
      <c r="D7" s="93"/>
      <c r="E7" s="93"/>
      <c r="F7" s="93"/>
      <c r="G7" s="93"/>
      <c r="H7" s="93"/>
    </row>
    <row r="8" spans="1:8" ht="18.75" x14ac:dyDescent="0.25">
      <c r="A8" s="93"/>
      <c r="B8" s="93"/>
      <c r="C8" s="93"/>
      <c r="D8" s="93"/>
      <c r="E8" s="93"/>
      <c r="F8" s="93"/>
      <c r="G8" s="93"/>
      <c r="H8" s="93"/>
    </row>
    <row r="9" spans="1:8" x14ac:dyDescent="0.25">
      <c r="A9" s="506" t="str">
        <f>'1. паспорт местоположение'!A9:C9</f>
        <v>Акционерное общество "Россети Янтарь"</v>
      </c>
      <c r="B9" s="506"/>
      <c r="C9" s="94"/>
      <c r="D9" s="94"/>
      <c r="E9" s="94"/>
      <c r="F9" s="94"/>
      <c r="G9" s="94"/>
      <c r="H9" s="94"/>
    </row>
    <row r="10" spans="1:8" x14ac:dyDescent="0.25">
      <c r="A10" s="378" t="s">
        <v>5</v>
      </c>
      <c r="B10" s="378"/>
      <c r="C10" s="95"/>
      <c r="D10" s="95"/>
      <c r="E10" s="95"/>
      <c r="F10" s="95"/>
      <c r="G10" s="95"/>
      <c r="H10" s="95"/>
    </row>
    <row r="11" spans="1:8" ht="18.75" x14ac:dyDescent="0.25">
      <c r="A11" s="93"/>
      <c r="B11" s="93"/>
      <c r="C11" s="93"/>
      <c r="D11" s="93"/>
      <c r="E11" s="93"/>
      <c r="F11" s="93"/>
      <c r="G11" s="93"/>
      <c r="H11" s="93"/>
    </row>
    <row r="12" spans="1:8" x14ac:dyDescent="0.25">
      <c r="A12" s="506" t="str">
        <f>'1. паспорт местоположение'!A12:C12</f>
        <v>L_19-0964</v>
      </c>
      <c r="B12" s="506"/>
      <c r="C12" s="94"/>
      <c r="D12" s="94"/>
      <c r="E12" s="94"/>
      <c r="F12" s="94"/>
      <c r="G12" s="94"/>
      <c r="H12" s="94"/>
    </row>
    <row r="13" spans="1:8" x14ac:dyDescent="0.25">
      <c r="A13" s="378" t="s">
        <v>4</v>
      </c>
      <c r="B13" s="378"/>
      <c r="C13" s="95"/>
      <c r="D13" s="95"/>
      <c r="E13" s="95"/>
      <c r="F13" s="95"/>
      <c r="G13" s="95"/>
      <c r="H13" s="95"/>
    </row>
    <row r="14" spans="1:8" ht="18.75" x14ac:dyDescent="0.25">
      <c r="A14" s="9"/>
      <c r="B14" s="9"/>
      <c r="C14" s="9"/>
      <c r="D14" s="9"/>
      <c r="E14" s="9"/>
      <c r="F14" s="9"/>
      <c r="G14" s="9"/>
      <c r="H14" s="9"/>
    </row>
    <row r="15" spans="1:8" ht="48.75" customHeight="1" x14ac:dyDescent="0.25">
      <c r="A15" s="507" t="str">
        <f>'1. паспорт местоположение'!A15:C15</f>
        <v>Строительство КЛ 15 кВ взамен существующей ВЛ 15 кВ № 15-82 (инв. № 5114524) протяженностью 0,52 км в Полесском районе</v>
      </c>
      <c r="B15" s="507"/>
      <c r="C15" s="94"/>
      <c r="D15" s="94"/>
      <c r="E15" s="94"/>
      <c r="F15" s="94"/>
      <c r="G15" s="94"/>
      <c r="H15" s="94"/>
    </row>
    <row r="16" spans="1:8" x14ac:dyDescent="0.25">
      <c r="A16" s="378" t="s">
        <v>3</v>
      </c>
      <c r="B16" s="378"/>
      <c r="C16" s="95"/>
      <c r="D16" s="95"/>
      <c r="E16" s="95"/>
      <c r="F16" s="95"/>
      <c r="G16" s="95"/>
      <c r="H16" s="95"/>
    </row>
    <row r="17" spans="1:4" x14ac:dyDescent="0.25">
      <c r="B17" s="74"/>
    </row>
    <row r="18" spans="1:4" x14ac:dyDescent="0.25">
      <c r="A18" s="508" t="s">
        <v>381</v>
      </c>
      <c r="B18" s="509"/>
    </row>
    <row r="19" spans="1:4" x14ac:dyDescent="0.25">
      <c r="B19" s="38"/>
    </row>
    <row r="20" spans="1:4" ht="16.5" thickBot="1" x14ac:dyDescent="0.3">
      <c r="B20" s="75"/>
    </row>
    <row r="21" spans="1:4" ht="30.75" thickBot="1" x14ac:dyDescent="0.3">
      <c r="A21" s="358" t="s">
        <v>281</v>
      </c>
      <c r="B21" s="359" t="str">
        <f>A15</f>
        <v>Строительство КЛ 15 кВ взамен существующей ВЛ 15 кВ № 15-82 (инв. № 5114524) протяженностью 0,52 км в Полесском районе</v>
      </c>
    </row>
    <row r="22" spans="1:4" ht="16.5" thickBot="1" x14ac:dyDescent="0.3">
      <c r="A22" s="76" t="s">
        <v>282</v>
      </c>
      <c r="B22" s="360" t="str">
        <f>CONCATENATE('1. паспорт местоположение'!C26,", ",'1. паспорт местоположение'!C27)</f>
        <v>Калининградская область, Полесский городской округ</v>
      </c>
    </row>
    <row r="23" spans="1:4" ht="16.5" thickBot="1" x14ac:dyDescent="0.3">
      <c r="A23" s="76" t="s">
        <v>264</v>
      </c>
      <c r="B23" s="361" t="s">
        <v>558</v>
      </c>
    </row>
    <row r="24" spans="1:4" ht="16.5" thickBot="1" x14ac:dyDescent="0.3">
      <c r="A24" s="76" t="s">
        <v>283</v>
      </c>
      <c r="B24" s="361" t="s">
        <v>555</v>
      </c>
    </row>
    <row r="25" spans="1:4" ht="16.5" thickBot="1" x14ac:dyDescent="0.3">
      <c r="A25" s="77" t="s">
        <v>284</v>
      </c>
      <c r="B25" s="360">
        <v>2023</v>
      </c>
    </row>
    <row r="26" spans="1:4" ht="16.5" thickBot="1" x14ac:dyDescent="0.3">
      <c r="A26" s="78" t="s">
        <v>285</v>
      </c>
      <c r="B26" s="251" t="s">
        <v>504</v>
      </c>
    </row>
    <row r="27" spans="1:4" ht="29.25" thickBot="1" x14ac:dyDescent="0.3">
      <c r="A27" s="84" t="s">
        <v>553</v>
      </c>
      <c r="B27" s="362">
        <f>'6.2. Паспорт фин осв ввод'!C24</f>
        <v>2.02916981</v>
      </c>
    </row>
    <row r="28" spans="1:4" ht="60.75" thickBot="1" x14ac:dyDescent="0.3">
      <c r="A28" s="80" t="s">
        <v>286</v>
      </c>
      <c r="B28" s="80" t="s">
        <v>554</v>
      </c>
    </row>
    <row r="29" spans="1:4" ht="29.25" thickBot="1" x14ac:dyDescent="0.3">
      <c r="A29" s="85" t="s">
        <v>287</v>
      </c>
      <c r="B29" s="363">
        <f>'7. Паспорт отчет о закупке'!AD27/1000</f>
        <v>0</v>
      </c>
    </row>
    <row r="30" spans="1:4" ht="29.25" thickBot="1" x14ac:dyDescent="0.3">
      <c r="A30" s="85" t="s">
        <v>288</v>
      </c>
      <c r="B30" s="363">
        <f>B32+B49+B66</f>
        <v>0</v>
      </c>
      <c r="C30" s="51"/>
      <c r="D30" s="51"/>
    </row>
    <row r="31" spans="1:4" ht="16.5" thickBot="1" x14ac:dyDescent="0.3">
      <c r="A31" s="80" t="s">
        <v>289</v>
      </c>
      <c r="B31" s="252"/>
      <c r="C31" s="51"/>
      <c r="D31" s="51"/>
    </row>
    <row r="32" spans="1:4" ht="29.25" thickBot="1" x14ac:dyDescent="0.3">
      <c r="A32" s="85" t="s">
        <v>290</v>
      </c>
      <c r="B32" s="363">
        <f>SUMIF(C33:C48,10,B33:B48)</f>
        <v>0</v>
      </c>
      <c r="C32" s="51"/>
      <c r="D32" s="51"/>
    </row>
    <row r="33" spans="1:4" s="254" customFormat="1" ht="16.5" thickBot="1" x14ac:dyDescent="0.3">
      <c r="A33" s="253" t="s">
        <v>291</v>
      </c>
      <c r="B33" s="364"/>
      <c r="C33" s="51">
        <v>10</v>
      </c>
      <c r="D33" s="51"/>
    </row>
    <row r="34" spans="1:4" ht="16.5" thickBot="1" x14ac:dyDescent="0.3">
      <c r="A34" s="80" t="s">
        <v>292</v>
      </c>
      <c r="B34" s="255">
        <f>B33/$B$27</f>
        <v>0</v>
      </c>
      <c r="C34" s="51"/>
      <c r="D34" s="51"/>
    </row>
    <row r="35" spans="1:4" ht="16.5" thickBot="1" x14ac:dyDescent="0.3">
      <c r="A35" s="80" t="s">
        <v>293</v>
      </c>
      <c r="B35" s="363"/>
      <c r="C35" s="51">
        <v>1</v>
      </c>
      <c r="D35" s="51"/>
    </row>
    <row r="36" spans="1:4" ht="16.5" thickBot="1" x14ac:dyDescent="0.3">
      <c r="A36" s="80" t="s">
        <v>294</v>
      </c>
      <c r="B36" s="363"/>
      <c r="C36" s="51">
        <v>2</v>
      </c>
      <c r="D36" s="51"/>
    </row>
    <row r="37" spans="1:4" s="254" customFormat="1" ht="16.5" thickBot="1" x14ac:dyDescent="0.3">
      <c r="A37" s="253" t="s">
        <v>291</v>
      </c>
      <c r="B37" s="364"/>
      <c r="C37" s="51">
        <v>10</v>
      </c>
      <c r="D37" s="51"/>
    </row>
    <row r="38" spans="1:4" ht="16.5" thickBot="1" x14ac:dyDescent="0.3">
      <c r="A38" s="80" t="s">
        <v>292</v>
      </c>
      <c r="B38" s="255">
        <f t="shared" ref="B38" si="0">B37/$B$27</f>
        <v>0</v>
      </c>
      <c r="C38" s="51"/>
      <c r="D38" s="51"/>
    </row>
    <row r="39" spans="1:4" ht="16.5" thickBot="1" x14ac:dyDescent="0.3">
      <c r="A39" s="80" t="s">
        <v>293</v>
      </c>
      <c r="B39" s="363"/>
      <c r="C39" s="51">
        <v>1</v>
      </c>
      <c r="D39" s="51"/>
    </row>
    <row r="40" spans="1:4" ht="16.5" thickBot="1" x14ac:dyDescent="0.3">
      <c r="A40" s="80" t="s">
        <v>294</v>
      </c>
      <c r="B40" s="363"/>
      <c r="C40" s="51">
        <v>2</v>
      </c>
      <c r="D40" s="51"/>
    </row>
    <row r="41" spans="1:4" ht="16.5" thickBot="1" x14ac:dyDescent="0.3">
      <c r="A41" s="253" t="s">
        <v>291</v>
      </c>
      <c r="B41" s="364"/>
      <c r="C41" s="51">
        <v>10</v>
      </c>
      <c r="D41" s="51"/>
    </row>
    <row r="42" spans="1:4" ht="16.5" thickBot="1" x14ac:dyDescent="0.3">
      <c r="A42" s="80" t="s">
        <v>292</v>
      </c>
      <c r="B42" s="255">
        <f t="shared" ref="B42" si="1">B41/$B$27</f>
        <v>0</v>
      </c>
      <c r="C42" s="51"/>
      <c r="D42" s="51"/>
    </row>
    <row r="43" spans="1:4" ht="16.5" thickBot="1" x14ac:dyDescent="0.3">
      <c r="A43" s="80" t="s">
        <v>293</v>
      </c>
      <c r="B43" s="363"/>
      <c r="C43" s="51">
        <v>1</v>
      </c>
      <c r="D43" s="51"/>
    </row>
    <row r="44" spans="1:4" ht="16.5" thickBot="1" x14ac:dyDescent="0.3">
      <c r="A44" s="80" t="s">
        <v>294</v>
      </c>
      <c r="B44" s="363"/>
      <c r="C44" s="51">
        <v>2</v>
      </c>
      <c r="D44" s="51"/>
    </row>
    <row r="45" spans="1:4" ht="16.5" thickBot="1" x14ac:dyDescent="0.3">
      <c r="A45" s="253" t="s">
        <v>291</v>
      </c>
      <c r="B45" s="364"/>
      <c r="C45" s="51">
        <v>10</v>
      </c>
      <c r="D45" s="51"/>
    </row>
    <row r="46" spans="1:4" ht="16.5" thickBot="1" x14ac:dyDescent="0.3">
      <c r="A46" s="80" t="s">
        <v>292</v>
      </c>
      <c r="B46" s="255">
        <f t="shared" ref="B46" si="2">B45/$B$27</f>
        <v>0</v>
      </c>
      <c r="C46" s="51"/>
      <c r="D46" s="51"/>
    </row>
    <row r="47" spans="1:4" ht="16.5" thickBot="1" x14ac:dyDescent="0.3">
      <c r="A47" s="80" t="s">
        <v>293</v>
      </c>
      <c r="B47" s="363"/>
      <c r="C47" s="51">
        <v>1</v>
      </c>
      <c r="D47" s="51"/>
    </row>
    <row r="48" spans="1:4" ht="16.5" thickBot="1" x14ac:dyDescent="0.3">
      <c r="A48" s="80" t="s">
        <v>294</v>
      </c>
      <c r="B48" s="363"/>
      <c r="C48" s="51">
        <v>2</v>
      </c>
      <c r="D48" s="51"/>
    </row>
    <row r="49" spans="1:4" s="254" customFormat="1" ht="29.25" thickBot="1" x14ac:dyDescent="0.3">
      <c r="A49" s="85" t="s">
        <v>295</v>
      </c>
      <c r="B49" s="363">
        <f>SUMIF(C50:C65,20,B50:B65)</f>
        <v>0</v>
      </c>
      <c r="C49" s="51"/>
      <c r="D49" s="51"/>
    </row>
    <row r="50" spans="1:4" ht="16.5" thickBot="1" x14ac:dyDescent="0.3">
      <c r="A50" s="253" t="s">
        <v>291</v>
      </c>
      <c r="B50" s="364"/>
      <c r="C50" s="51">
        <v>20</v>
      </c>
      <c r="D50" s="51"/>
    </row>
    <row r="51" spans="1:4" ht="16.5" thickBot="1" x14ac:dyDescent="0.3">
      <c r="A51" s="80" t="s">
        <v>292</v>
      </c>
      <c r="B51" s="255">
        <f>B50/$B$27</f>
        <v>0</v>
      </c>
      <c r="C51" s="51"/>
      <c r="D51" s="51"/>
    </row>
    <row r="52" spans="1:4" ht="16.5" thickBot="1" x14ac:dyDescent="0.3">
      <c r="A52" s="80" t="s">
        <v>293</v>
      </c>
      <c r="B52" s="363"/>
      <c r="C52" s="51">
        <v>1</v>
      </c>
      <c r="D52" s="51"/>
    </row>
    <row r="53" spans="1:4" s="254" customFormat="1" ht="16.5" thickBot="1" x14ac:dyDescent="0.3">
      <c r="A53" s="80" t="s">
        <v>294</v>
      </c>
      <c r="B53" s="363"/>
      <c r="C53" s="51">
        <v>2</v>
      </c>
      <c r="D53" s="51"/>
    </row>
    <row r="54" spans="1:4" ht="16.5" thickBot="1" x14ac:dyDescent="0.3">
      <c r="A54" s="253" t="s">
        <v>291</v>
      </c>
      <c r="B54" s="364"/>
      <c r="C54" s="51">
        <v>20</v>
      </c>
      <c r="D54" s="51"/>
    </row>
    <row r="55" spans="1:4" ht="16.5" thickBot="1" x14ac:dyDescent="0.3">
      <c r="A55" s="80" t="s">
        <v>292</v>
      </c>
      <c r="B55" s="255">
        <f t="shared" ref="B55" si="3">B54/$B$27</f>
        <v>0</v>
      </c>
      <c r="C55" s="51"/>
      <c r="D55" s="51"/>
    </row>
    <row r="56" spans="1:4" ht="16.5" thickBot="1" x14ac:dyDescent="0.3">
      <c r="A56" s="80" t="s">
        <v>293</v>
      </c>
      <c r="B56" s="363"/>
      <c r="C56" s="51">
        <v>1</v>
      </c>
      <c r="D56" s="51"/>
    </row>
    <row r="57" spans="1:4" s="254" customFormat="1" ht="16.5" thickBot="1" x14ac:dyDescent="0.3">
      <c r="A57" s="80" t="s">
        <v>294</v>
      </c>
      <c r="B57" s="363"/>
      <c r="C57" s="51">
        <v>2</v>
      </c>
      <c r="D57" s="51"/>
    </row>
    <row r="58" spans="1:4" ht="16.5" thickBot="1" x14ac:dyDescent="0.3">
      <c r="A58" s="253" t="s">
        <v>291</v>
      </c>
      <c r="B58" s="364"/>
      <c r="C58" s="51">
        <v>20</v>
      </c>
      <c r="D58" s="51"/>
    </row>
    <row r="59" spans="1:4" ht="16.5" thickBot="1" x14ac:dyDescent="0.3">
      <c r="A59" s="80" t="s">
        <v>292</v>
      </c>
      <c r="B59" s="255">
        <f t="shared" ref="B59" si="4">B58/$B$27</f>
        <v>0</v>
      </c>
      <c r="C59" s="51"/>
      <c r="D59" s="51"/>
    </row>
    <row r="60" spans="1:4" ht="16.5" thickBot="1" x14ac:dyDescent="0.3">
      <c r="A60" s="80" t="s">
        <v>293</v>
      </c>
      <c r="B60" s="363"/>
      <c r="C60" s="51">
        <v>1</v>
      </c>
      <c r="D60" s="51"/>
    </row>
    <row r="61" spans="1:4" s="254" customFormat="1" ht="16.5" thickBot="1" x14ac:dyDescent="0.3">
      <c r="A61" s="80" t="s">
        <v>294</v>
      </c>
      <c r="B61" s="363"/>
      <c r="C61" s="51">
        <v>2</v>
      </c>
      <c r="D61" s="51"/>
    </row>
    <row r="62" spans="1:4" ht="16.5" thickBot="1" x14ac:dyDescent="0.3">
      <c r="A62" s="253" t="s">
        <v>291</v>
      </c>
      <c r="B62" s="364"/>
      <c r="C62" s="51">
        <v>20</v>
      </c>
      <c r="D62" s="51"/>
    </row>
    <row r="63" spans="1:4" ht="16.5" thickBot="1" x14ac:dyDescent="0.3">
      <c r="A63" s="80" t="s">
        <v>292</v>
      </c>
      <c r="B63" s="255">
        <f t="shared" ref="B63" si="5">B62/$B$27</f>
        <v>0</v>
      </c>
      <c r="C63" s="51"/>
      <c r="D63" s="51"/>
    </row>
    <row r="64" spans="1:4" ht="16.5" thickBot="1" x14ac:dyDescent="0.3">
      <c r="A64" s="80" t="s">
        <v>293</v>
      </c>
      <c r="B64" s="363"/>
      <c r="C64" s="51">
        <v>1</v>
      </c>
      <c r="D64" s="51"/>
    </row>
    <row r="65" spans="1:4" ht="16.5" thickBot="1" x14ac:dyDescent="0.3">
      <c r="A65" s="80" t="s">
        <v>294</v>
      </c>
      <c r="B65" s="363"/>
      <c r="C65" s="51">
        <v>2</v>
      </c>
      <c r="D65" s="51"/>
    </row>
    <row r="66" spans="1:4" s="254" customFormat="1" ht="29.25" thickBot="1" x14ac:dyDescent="0.3">
      <c r="A66" s="85" t="s">
        <v>296</v>
      </c>
      <c r="B66" s="363">
        <f>SUMIF(C67:C82,30,B67:B82)</f>
        <v>0</v>
      </c>
      <c r="C66" s="51"/>
      <c r="D66" s="51"/>
    </row>
    <row r="67" spans="1:4" ht="16.5" thickBot="1" x14ac:dyDescent="0.3">
      <c r="A67" s="253" t="s">
        <v>291</v>
      </c>
      <c r="B67" s="364"/>
      <c r="C67" s="51">
        <v>30</v>
      </c>
      <c r="D67" s="51"/>
    </row>
    <row r="68" spans="1:4" ht="16.5" thickBot="1" x14ac:dyDescent="0.3">
      <c r="A68" s="80" t="s">
        <v>292</v>
      </c>
      <c r="B68" s="255">
        <f t="shared" ref="B68" si="6">B67/$B$27</f>
        <v>0</v>
      </c>
      <c r="C68" s="51"/>
      <c r="D68" s="51"/>
    </row>
    <row r="69" spans="1:4" ht="16.5" thickBot="1" x14ac:dyDescent="0.3">
      <c r="A69" s="80" t="s">
        <v>293</v>
      </c>
      <c r="B69" s="363"/>
      <c r="C69" s="51">
        <v>1</v>
      </c>
      <c r="D69" s="51"/>
    </row>
    <row r="70" spans="1:4" s="254" customFormat="1" ht="16.5" thickBot="1" x14ac:dyDescent="0.3">
      <c r="A70" s="80" t="s">
        <v>294</v>
      </c>
      <c r="B70" s="363"/>
      <c r="C70" s="51">
        <v>2</v>
      </c>
      <c r="D70" s="51"/>
    </row>
    <row r="71" spans="1:4" ht="16.5" thickBot="1" x14ac:dyDescent="0.3">
      <c r="A71" s="253" t="s">
        <v>291</v>
      </c>
      <c r="B71" s="364"/>
      <c r="C71" s="51">
        <v>30</v>
      </c>
      <c r="D71" s="51"/>
    </row>
    <row r="72" spans="1:4" ht="16.5" thickBot="1" x14ac:dyDescent="0.3">
      <c r="A72" s="80" t="s">
        <v>292</v>
      </c>
      <c r="B72" s="255">
        <f t="shared" ref="B72" si="7">B71/$B$27</f>
        <v>0</v>
      </c>
      <c r="C72" s="51"/>
      <c r="D72" s="51"/>
    </row>
    <row r="73" spans="1:4" ht="16.5" thickBot="1" x14ac:dyDescent="0.3">
      <c r="A73" s="80" t="s">
        <v>293</v>
      </c>
      <c r="B73" s="363"/>
      <c r="C73" s="51">
        <v>1</v>
      </c>
      <c r="D73" s="51"/>
    </row>
    <row r="74" spans="1:4" s="254" customFormat="1" ht="16.5" thickBot="1" x14ac:dyDescent="0.3">
      <c r="A74" s="80" t="s">
        <v>294</v>
      </c>
      <c r="B74" s="363"/>
      <c r="C74" s="51">
        <v>2</v>
      </c>
      <c r="D74" s="51"/>
    </row>
    <row r="75" spans="1:4" ht="16.5" thickBot="1" x14ac:dyDescent="0.3">
      <c r="A75" s="253" t="s">
        <v>291</v>
      </c>
      <c r="B75" s="364"/>
      <c r="C75" s="51">
        <v>30</v>
      </c>
      <c r="D75" s="51"/>
    </row>
    <row r="76" spans="1:4" ht="16.5" thickBot="1" x14ac:dyDescent="0.3">
      <c r="A76" s="80" t="s">
        <v>292</v>
      </c>
      <c r="B76" s="255">
        <f t="shared" ref="B76" si="8">B75/$B$27</f>
        <v>0</v>
      </c>
      <c r="C76" s="51"/>
      <c r="D76" s="51"/>
    </row>
    <row r="77" spans="1:4" ht="16.5" thickBot="1" x14ac:dyDescent="0.3">
      <c r="A77" s="80" t="s">
        <v>293</v>
      </c>
      <c r="B77" s="363"/>
      <c r="C77" s="51">
        <v>1</v>
      </c>
      <c r="D77" s="51"/>
    </row>
    <row r="78" spans="1:4" ht="16.5" thickBot="1" x14ac:dyDescent="0.3">
      <c r="A78" s="80" t="s">
        <v>294</v>
      </c>
      <c r="B78" s="363"/>
      <c r="C78" s="51">
        <v>2</v>
      </c>
      <c r="D78" s="51"/>
    </row>
    <row r="79" spans="1:4" ht="16.5" thickBot="1" x14ac:dyDescent="0.3">
      <c r="A79" s="253" t="s">
        <v>291</v>
      </c>
      <c r="B79" s="364"/>
      <c r="C79" s="51">
        <v>30</v>
      </c>
      <c r="D79" s="51"/>
    </row>
    <row r="80" spans="1:4" ht="16.5" thickBot="1" x14ac:dyDescent="0.3">
      <c r="A80" s="80" t="s">
        <v>292</v>
      </c>
      <c r="B80" s="255">
        <f t="shared" ref="B80" si="9">B79/$B$27</f>
        <v>0</v>
      </c>
      <c r="C80" s="51"/>
      <c r="D80" s="51"/>
    </row>
    <row r="81" spans="1:4" ht="16.5" thickBot="1" x14ac:dyDescent="0.3">
      <c r="A81" s="80" t="s">
        <v>293</v>
      </c>
      <c r="B81" s="363"/>
      <c r="C81" s="51">
        <v>1</v>
      </c>
      <c r="D81" s="51"/>
    </row>
    <row r="82" spans="1:4" ht="16.5" thickBot="1" x14ac:dyDescent="0.3">
      <c r="A82" s="80" t="s">
        <v>294</v>
      </c>
      <c r="B82" s="363"/>
      <c r="C82" s="51">
        <v>2</v>
      </c>
      <c r="D82" s="51"/>
    </row>
    <row r="83" spans="1:4" ht="15.6" customHeight="1" thickBot="1" x14ac:dyDescent="0.3">
      <c r="A83" s="79" t="s">
        <v>297</v>
      </c>
      <c r="B83" s="365">
        <f>B30/B27</f>
        <v>0</v>
      </c>
      <c r="C83" s="51"/>
      <c r="D83" s="51"/>
    </row>
    <row r="84" spans="1:4" ht="16.5" thickBot="1" x14ac:dyDescent="0.3">
      <c r="A84" s="81" t="s">
        <v>289</v>
      </c>
      <c r="B84" s="366"/>
      <c r="C84" s="51"/>
      <c r="D84" s="51"/>
    </row>
    <row r="85" spans="1:4" ht="16.5" thickBot="1" x14ac:dyDescent="0.3">
      <c r="A85" s="81" t="s">
        <v>298</v>
      </c>
      <c r="B85" s="365"/>
      <c r="C85" s="51"/>
      <c r="D85" s="51"/>
    </row>
    <row r="86" spans="1:4" ht="16.5" thickBot="1" x14ac:dyDescent="0.3">
      <c r="A86" s="81" t="s">
        <v>299</v>
      </c>
      <c r="B86" s="365"/>
      <c r="C86" s="51"/>
      <c r="D86" s="51"/>
    </row>
    <row r="87" spans="1:4" ht="16.5" thickBot="1" x14ac:dyDescent="0.3">
      <c r="A87" s="81" t="s">
        <v>300</v>
      </c>
      <c r="B87" s="365"/>
      <c r="C87" s="51"/>
      <c r="D87" s="51"/>
    </row>
    <row r="88" spans="1:4" ht="16.5" thickBot="1" x14ac:dyDescent="0.3">
      <c r="A88" s="77" t="s">
        <v>301</v>
      </c>
      <c r="B88" s="256">
        <f>B89/$B$27</f>
        <v>0</v>
      </c>
      <c r="C88" s="51"/>
      <c r="D88" s="51"/>
    </row>
    <row r="89" spans="1:4" ht="16.5" thickBot="1" x14ac:dyDescent="0.3">
      <c r="A89" s="77" t="s">
        <v>302</v>
      </c>
      <c r="B89" s="261">
        <f xml:space="preserve"> SUMIF(C33:C82, 1,B33:B82)</f>
        <v>0</v>
      </c>
      <c r="C89" s="51"/>
      <c r="D89" s="51"/>
    </row>
    <row r="90" spans="1:4" ht="16.5" thickBot="1" x14ac:dyDescent="0.3">
      <c r="A90" s="77" t="s">
        <v>303</v>
      </c>
      <c r="B90" s="256">
        <f>B91/$B$27</f>
        <v>0</v>
      </c>
      <c r="C90" s="51"/>
      <c r="D90" s="51"/>
    </row>
    <row r="91" spans="1:4" ht="16.5" thickBot="1" x14ac:dyDescent="0.3">
      <c r="A91" s="78" t="s">
        <v>304</v>
      </c>
      <c r="B91" s="261">
        <f xml:space="preserve"> SUMIF(C33:C82, 2,B33:B82)</f>
        <v>0</v>
      </c>
      <c r="C91" s="51"/>
      <c r="D91" s="51"/>
    </row>
    <row r="92" spans="1:4" ht="30" x14ac:dyDescent="0.25">
      <c r="A92" s="79" t="s">
        <v>305</v>
      </c>
      <c r="B92" s="81" t="s">
        <v>505</v>
      </c>
      <c r="C92" s="51"/>
      <c r="D92" s="51"/>
    </row>
    <row r="93" spans="1:4" x14ac:dyDescent="0.25">
      <c r="A93" s="82" t="s">
        <v>306</v>
      </c>
      <c r="B93" s="82" t="s">
        <v>565</v>
      </c>
      <c r="C93" s="51"/>
      <c r="D93" s="51"/>
    </row>
    <row r="94" spans="1:4" x14ac:dyDescent="0.25">
      <c r="A94" s="82" t="s">
        <v>307</v>
      </c>
      <c r="B94" s="82"/>
      <c r="C94" s="51"/>
      <c r="D94" s="51"/>
    </row>
    <row r="95" spans="1:4" x14ac:dyDescent="0.25">
      <c r="A95" s="82" t="s">
        <v>308</v>
      </c>
      <c r="B95" s="82"/>
      <c r="C95" s="51"/>
      <c r="D95" s="51"/>
    </row>
    <row r="96" spans="1:4" x14ac:dyDescent="0.25">
      <c r="A96" s="82" t="s">
        <v>309</v>
      </c>
      <c r="B96" s="82"/>
      <c r="C96" s="51"/>
      <c r="D96" s="51"/>
    </row>
    <row r="97" spans="1:4" ht="16.5" thickBot="1" x14ac:dyDescent="0.3">
      <c r="A97" s="83" t="s">
        <v>310</v>
      </c>
      <c r="B97" s="83"/>
      <c r="C97" s="51"/>
      <c r="D97" s="51"/>
    </row>
    <row r="98" spans="1:4" ht="30.75" thickBot="1" x14ac:dyDescent="0.3">
      <c r="A98" s="81" t="s">
        <v>311</v>
      </c>
      <c r="B98" s="257" t="s">
        <v>451</v>
      </c>
      <c r="C98" s="51"/>
      <c r="D98" s="51"/>
    </row>
    <row r="99" spans="1:4" ht="29.25" thickBot="1" x14ac:dyDescent="0.3">
      <c r="A99" s="77" t="s">
        <v>312</v>
      </c>
      <c r="B99" s="282">
        <v>7</v>
      </c>
      <c r="C99" s="51"/>
      <c r="D99" s="51"/>
    </row>
    <row r="100" spans="1:4" ht="28.5" customHeight="1" thickBot="1" x14ac:dyDescent="0.3">
      <c r="A100" s="81" t="s">
        <v>289</v>
      </c>
      <c r="B100" s="283"/>
      <c r="C100" s="51"/>
      <c r="D100" s="51"/>
    </row>
    <row r="101" spans="1:4" ht="16.5" thickBot="1" x14ac:dyDescent="0.3">
      <c r="A101" s="81" t="s">
        <v>313</v>
      </c>
      <c r="B101" s="282">
        <v>4</v>
      </c>
      <c r="C101" s="51"/>
      <c r="D101" s="51"/>
    </row>
    <row r="102" spans="1:4" ht="16.5" thickBot="1" x14ac:dyDescent="0.3">
      <c r="A102" s="81" t="s">
        <v>314</v>
      </c>
      <c r="B102" s="282">
        <v>3</v>
      </c>
      <c r="C102" s="51"/>
      <c r="D102" s="51"/>
    </row>
    <row r="103" spans="1:4" ht="16.5" thickBot="1" x14ac:dyDescent="0.3">
      <c r="A103" s="86" t="s">
        <v>315</v>
      </c>
      <c r="B103" s="260" t="s">
        <v>451</v>
      </c>
      <c r="C103" s="51"/>
      <c r="D103" s="51"/>
    </row>
    <row r="104" spans="1:4" ht="16.5" thickBot="1" x14ac:dyDescent="0.3">
      <c r="A104" s="77" t="s">
        <v>316</v>
      </c>
      <c r="B104" s="259"/>
      <c r="C104" s="51"/>
      <c r="D104" s="51"/>
    </row>
    <row r="105" spans="1:4" ht="16.5" thickBot="1" x14ac:dyDescent="0.3">
      <c r="A105" s="82" t="s">
        <v>317</v>
      </c>
      <c r="B105" s="260" t="s">
        <v>451</v>
      </c>
      <c r="C105" s="51"/>
      <c r="D105" s="51"/>
    </row>
    <row r="106" spans="1:4" ht="16.5" thickBot="1" x14ac:dyDescent="0.3">
      <c r="A106" s="82" t="s">
        <v>318</v>
      </c>
      <c r="B106" s="260" t="s">
        <v>451</v>
      </c>
      <c r="C106" s="51"/>
      <c r="D106" s="51"/>
    </row>
    <row r="107" spans="1:4" ht="16.5" thickBot="1" x14ac:dyDescent="0.3">
      <c r="A107" s="82" t="s">
        <v>319</v>
      </c>
      <c r="B107" s="260" t="s">
        <v>451</v>
      </c>
      <c r="C107" s="51"/>
      <c r="D107" s="51"/>
    </row>
    <row r="108" spans="1:4" ht="29.25" thickBot="1" x14ac:dyDescent="0.3">
      <c r="A108" s="87" t="s">
        <v>320</v>
      </c>
      <c r="B108" s="258" t="s">
        <v>512</v>
      </c>
      <c r="C108" s="51"/>
      <c r="D108" s="51"/>
    </row>
    <row r="109" spans="1:4" ht="28.5" x14ac:dyDescent="0.25">
      <c r="A109" s="79" t="s">
        <v>321</v>
      </c>
      <c r="B109" s="502" t="s">
        <v>410</v>
      </c>
      <c r="C109" s="51"/>
      <c r="D109" s="51"/>
    </row>
    <row r="110" spans="1:4" x14ac:dyDescent="0.25">
      <c r="A110" s="82" t="s">
        <v>322</v>
      </c>
      <c r="B110" s="503"/>
      <c r="C110" s="51"/>
      <c r="D110" s="51"/>
    </row>
    <row r="111" spans="1:4" x14ac:dyDescent="0.25">
      <c r="A111" s="82" t="s">
        <v>323</v>
      </c>
      <c r="B111" s="503"/>
      <c r="C111" s="51"/>
      <c r="D111" s="51"/>
    </row>
    <row r="112" spans="1:4" x14ac:dyDescent="0.25">
      <c r="A112" s="82" t="s">
        <v>324</v>
      </c>
      <c r="B112" s="503"/>
      <c r="C112" s="51"/>
      <c r="D112" s="51"/>
    </row>
    <row r="113" spans="1:4" x14ac:dyDescent="0.25">
      <c r="A113" s="82" t="s">
        <v>325</v>
      </c>
      <c r="B113" s="503"/>
      <c r="C113" s="51"/>
      <c r="D113" s="51"/>
    </row>
    <row r="114" spans="1:4" ht="16.5" thickBot="1" x14ac:dyDescent="0.3">
      <c r="A114" s="88" t="s">
        <v>326</v>
      </c>
      <c r="B114" s="504"/>
      <c r="C114" s="51"/>
      <c r="D114" s="51"/>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81" t="str">
        <f>CONCATENATE('1. паспорт местоположение'!A5:B5,'1. паспорт местоположение'!C5)</f>
        <v>Год раскрытия информации: 2023 год</v>
      </c>
      <c r="B4" s="381"/>
      <c r="C4" s="381"/>
      <c r="D4" s="381"/>
      <c r="E4" s="381"/>
      <c r="F4" s="381"/>
      <c r="G4" s="381"/>
      <c r="H4" s="381"/>
      <c r="I4" s="381"/>
      <c r="J4" s="381"/>
      <c r="K4" s="381"/>
      <c r="L4" s="381"/>
      <c r="M4" s="381"/>
      <c r="N4" s="381"/>
      <c r="O4" s="381"/>
      <c r="P4" s="381"/>
      <c r="Q4" s="381"/>
      <c r="R4" s="381"/>
      <c r="S4" s="381"/>
    </row>
    <row r="5" spans="1:28" s="10" customFormat="1" ht="15.75" x14ac:dyDescent="0.2">
      <c r="A5" s="133"/>
      <c r="B5" s="16"/>
      <c r="C5" s="16"/>
      <c r="D5" s="16"/>
      <c r="E5" s="16"/>
      <c r="F5" s="16"/>
      <c r="G5" s="16"/>
      <c r="H5" s="16"/>
      <c r="I5" s="16"/>
      <c r="J5" s="16"/>
      <c r="K5" s="16"/>
      <c r="L5" s="16"/>
      <c r="M5" s="16"/>
      <c r="N5" s="16"/>
      <c r="O5" s="16"/>
      <c r="P5" s="16"/>
      <c r="Q5" s="16"/>
      <c r="R5" s="16"/>
      <c r="S5" s="16"/>
    </row>
    <row r="6" spans="1:28" s="10" customFormat="1" ht="18.75" x14ac:dyDescent="0.2">
      <c r="A6" s="390" t="s">
        <v>6</v>
      </c>
      <c r="B6" s="390"/>
      <c r="C6" s="390"/>
      <c r="D6" s="390"/>
      <c r="E6" s="390"/>
      <c r="F6" s="390"/>
      <c r="G6" s="390"/>
      <c r="H6" s="390"/>
      <c r="I6" s="390"/>
      <c r="J6" s="390"/>
      <c r="K6" s="390"/>
      <c r="L6" s="390"/>
      <c r="M6" s="390"/>
      <c r="N6" s="390"/>
      <c r="O6" s="390"/>
      <c r="P6" s="390"/>
      <c r="Q6" s="390"/>
      <c r="R6" s="390"/>
      <c r="S6" s="390"/>
      <c r="T6" s="11"/>
      <c r="U6" s="11"/>
      <c r="V6" s="11"/>
      <c r="W6" s="11"/>
      <c r="X6" s="11"/>
      <c r="Y6" s="11"/>
      <c r="Z6" s="11"/>
      <c r="AA6" s="11"/>
      <c r="AB6" s="11"/>
    </row>
    <row r="7" spans="1:28" s="10" customFormat="1" ht="18.75" x14ac:dyDescent="0.2">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x14ac:dyDescent="0.2">
      <c r="A8" s="391" t="str">
        <f>'1. паспорт местоположение'!A9:C9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11"/>
      <c r="U8" s="11"/>
      <c r="V8" s="11"/>
      <c r="W8" s="11"/>
      <c r="X8" s="11"/>
      <c r="Y8" s="11"/>
      <c r="Z8" s="11"/>
      <c r="AA8" s="11"/>
      <c r="AB8" s="11"/>
    </row>
    <row r="9" spans="1:28" s="10" customFormat="1" ht="18.75" x14ac:dyDescent="0.2">
      <c r="A9" s="387" t="s">
        <v>5</v>
      </c>
      <c r="B9" s="387"/>
      <c r="C9" s="387"/>
      <c r="D9" s="387"/>
      <c r="E9" s="387"/>
      <c r="F9" s="387"/>
      <c r="G9" s="387"/>
      <c r="H9" s="387"/>
      <c r="I9" s="387"/>
      <c r="J9" s="387"/>
      <c r="K9" s="387"/>
      <c r="L9" s="387"/>
      <c r="M9" s="387"/>
      <c r="N9" s="387"/>
      <c r="O9" s="387"/>
      <c r="P9" s="387"/>
      <c r="Q9" s="387"/>
      <c r="R9" s="387"/>
      <c r="S9" s="387"/>
      <c r="T9" s="11"/>
      <c r="U9" s="11"/>
      <c r="V9" s="11"/>
      <c r="W9" s="11"/>
      <c r="X9" s="11"/>
      <c r="Y9" s="11"/>
      <c r="Z9" s="11"/>
      <c r="AA9" s="11"/>
      <c r="AB9" s="11"/>
    </row>
    <row r="10" spans="1:28" s="10" customFormat="1" ht="18.75" x14ac:dyDescent="0.2">
      <c r="A10" s="390"/>
      <c r="B10" s="390"/>
      <c r="C10" s="390"/>
      <c r="D10" s="390"/>
      <c r="E10" s="390"/>
      <c r="F10" s="390"/>
      <c r="G10" s="390"/>
      <c r="H10" s="390"/>
      <c r="I10" s="390"/>
      <c r="J10" s="390"/>
      <c r="K10" s="390"/>
      <c r="L10" s="390"/>
      <c r="M10" s="390"/>
      <c r="N10" s="390"/>
      <c r="O10" s="390"/>
      <c r="P10" s="390"/>
      <c r="Q10" s="390"/>
      <c r="R10" s="390"/>
      <c r="S10" s="390"/>
      <c r="T10" s="11"/>
      <c r="U10" s="11"/>
      <c r="V10" s="11"/>
      <c r="W10" s="11"/>
      <c r="X10" s="11"/>
      <c r="Y10" s="11"/>
      <c r="Z10" s="11"/>
      <c r="AA10" s="11"/>
      <c r="AB10" s="11"/>
    </row>
    <row r="11" spans="1:28" s="10" customFormat="1" ht="18.75" x14ac:dyDescent="0.2">
      <c r="A11" s="391" t="str">
        <f>'1. паспорт местоположение'!A12:C12</f>
        <v>L_19-0964</v>
      </c>
      <c r="B11" s="391"/>
      <c r="C11" s="391"/>
      <c r="D11" s="391"/>
      <c r="E11" s="391"/>
      <c r="F11" s="391"/>
      <c r="G11" s="391"/>
      <c r="H11" s="391"/>
      <c r="I11" s="391"/>
      <c r="J11" s="391"/>
      <c r="K11" s="391"/>
      <c r="L11" s="391"/>
      <c r="M11" s="391"/>
      <c r="N11" s="391"/>
      <c r="O11" s="391"/>
      <c r="P11" s="391"/>
      <c r="Q11" s="391"/>
      <c r="R11" s="391"/>
      <c r="S11" s="391"/>
      <c r="T11" s="11"/>
      <c r="U11" s="11"/>
      <c r="V11" s="11"/>
      <c r="W11" s="11"/>
      <c r="X11" s="11"/>
      <c r="Y11" s="11"/>
      <c r="Z11" s="11"/>
      <c r="AA11" s="11"/>
      <c r="AB11" s="11"/>
    </row>
    <row r="12" spans="1:28" s="10" customFormat="1" ht="18.75" x14ac:dyDescent="0.2">
      <c r="A12" s="387" t="s">
        <v>4</v>
      </c>
      <c r="B12" s="387"/>
      <c r="C12" s="387"/>
      <c r="D12" s="387"/>
      <c r="E12" s="387"/>
      <c r="F12" s="387"/>
      <c r="G12" s="387"/>
      <c r="H12" s="387"/>
      <c r="I12" s="387"/>
      <c r="J12" s="387"/>
      <c r="K12" s="387"/>
      <c r="L12" s="387"/>
      <c r="M12" s="387"/>
      <c r="N12" s="387"/>
      <c r="O12" s="387"/>
      <c r="P12" s="387"/>
      <c r="Q12" s="387"/>
      <c r="R12" s="387"/>
      <c r="S12" s="387"/>
      <c r="T12" s="11"/>
      <c r="U12" s="11"/>
      <c r="V12" s="11"/>
      <c r="W12" s="11"/>
      <c r="X12" s="11"/>
      <c r="Y12" s="11"/>
      <c r="Z12" s="11"/>
      <c r="AA12" s="11"/>
      <c r="AB12" s="11"/>
    </row>
    <row r="13" spans="1:28" s="7" customFormat="1" ht="15.75" customHeight="1" x14ac:dyDescent="0.2">
      <c r="A13" s="392"/>
      <c r="B13" s="392"/>
      <c r="C13" s="392"/>
      <c r="D13" s="392"/>
      <c r="E13" s="392"/>
      <c r="F13" s="392"/>
      <c r="G13" s="392"/>
      <c r="H13" s="392"/>
      <c r="I13" s="392"/>
      <c r="J13" s="392"/>
      <c r="K13" s="392"/>
      <c r="L13" s="392"/>
      <c r="M13" s="392"/>
      <c r="N13" s="392"/>
      <c r="O13" s="392"/>
      <c r="P13" s="392"/>
      <c r="Q13" s="392"/>
      <c r="R13" s="392"/>
      <c r="S13" s="392"/>
      <c r="T13" s="8"/>
      <c r="U13" s="8"/>
      <c r="V13" s="8"/>
      <c r="W13" s="8"/>
      <c r="X13" s="8"/>
      <c r="Y13" s="8"/>
      <c r="Z13" s="8"/>
      <c r="AA13" s="8"/>
      <c r="AB13" s="8"/>
    </row>
    <row r="14" spans="1:28" s="2" customFormat="1" ht="15.75" x14ac:dyDescent="0.2">
      <c r="A14" s="386" t="str">
        <f>'1. паспорт местоположение'!A15:C15</f>
        <v>Строительство КЛ 15 кВ взамен существующей ВЛ 15 кВ № 15-82 (инв. № 5114524) протяженностью 0,52 км в Полесском районе</v>
      </c>
      <c r="B14" s="386"/>
      <c r="C14" s="386"/>
      <c r="D14" s="386"/>
      <c r="E14" s="386"/>
      <c r="F14" s="386"/>
      <c r="G14" s="386"/>
      <c r="H14" s="386"/>
      <c r="I14" s="386"/>
      <c r="J14" s="386"/>
      <c r="K14" s="386"/>
      <c r="L14" s="386"/>
      <c r="M14" s="386"/>
      <c r="N14" s="386"/>
      <c r="O14" s="386"/>
      <c r="P14" s="386"/>
      <c r="Q14" s="386"/>
      <c r="R14" s="386"/>
      <c r="S14" s="386"/>
      <c r="T14" s="6"/>
      <c r="U14" s="6"/>
      <c r="V14" s="6"/>
      <c r="W14" s="6"/>
      <c r="X14" s="6"/>
      <c r="Y14" s="6"/>
      <c r="Z14" s="6"/>
      <c r="AA14" s="6"/>
      <c r="AB14" s="6"/>
    </row>
    <row r="15" spans="1:28" s="2" customFormat="1" ht="15" customHeight="1" x14ac:dyDescent="0.2">
      <c r="A15" s="387" t="s">
        <v>3</v>
      </c>
      <c r="B15" s="387"/>
      <c r="C15" s="387"/>
      <c r="D15" s="387"/>
      <c r="E15" s="387"/>
      <c r="F15" s="387"/>
      <c r="G15" s="387"/>
      <c r="H15" s="387"/>
      <c r="I15" s="387"/>
      <c r="J15" s="387"/>
      <c r="K15" s="387"/>
      <c r="L15" s="387"/>
      <c r="M15" s="387"/>
      <c r="N15" s="387"/>
      <c r="O15" s="387"/>
      <c r="P15" s="387"/>
      <c r="Q15" s="387"/>
      <c r="R15" s="387"/>
      <c r="S15" s="387"/>
      <c r="T15" s="4"/>
      <c r="U15" s="4"/>
      <c r="V15" s="4"/>
      <c r="W15" s="4"/>
      <c r="X15" s="4"/>
      <c r="Y15" s="4"/>
      <c r="Z15" s="4"/>
      <c r="AA15" s="4"/>
      <c r="AB15" s="4"/>
    </row>
    <row r="16" spans="1:28" s="2"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3"/>
      <c r="U16" s="3"/>
      <c r="V16" s="3"/>
      <c r="W16" s="3"/>
      <c r="X16" s="3"/>
      <c r="Y16" s="3"/>
    </row>
    <row r="17" spans="1:28" s="2" customFormat="1" ht="45.75" customHeight="1" x14ac:dyDescent="0.2">
      <c r="A17" s="379" t="s">
        <v>356</v>
      </c>
      <c r="B17" s="379"/>
      <c r="C17" s="379"/>
      <c r="D17" s="379"/>
      <c r="E17" s="379"/>
      <c r="F17" s="379"/>
      <c r="G17" s="379"/>
      <c r="H17" s="379"/>
      <c r="I17" s="379"/>
      <c r="J17" s="379"/>
      <c r="K17" s="379"/>
      <c r="L17" s="379"/>
      <c r="M17" s="379"/>
      <c r="N17" s="379"/>
      <c r="O17" s="379"/>
      <c r="P17" s="379"/>
      <c r="Q17" s="379"/>
      <c r="R17" s="379"/>
      <c r="S17" s="379"/>
      <c r="T17" s="5"/>
      <c r="U17" s="5"/>
      <c r="V17" s="5"/>
      <c r="W17" s="5"/>
      <c r="X17" s="5"/>
      <c r="Y17" s="5"/>
      <c r="Z17" s="5"/>
      <c r="AA17" s="5"/>
      <c r="AB17" s="5"/>
    </row>
    <row r="18" spans="1:28" s="2"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
      <c r="U18" s="3"/>
      <c r="V18" s="3"/>
      <c r="W18" s="3"/>
      <c r="X18" s="3"/>
      <c r="Y18" s="3"/>
    </row>
    <row r="19" spans="1:28" s="2" customFormat="1" ht="54" customHeight="1" x14ac:dyDescent="0.2">
      <c r="A19" s="393" t="s">
        <v>2</v>
      </c>
      <c r="B19" s="393" t="s">
        <v>93</v>
      </c>
      <c r="C19" s="394" t="s">
        <v>280</v>
      </c>
      <c r="D19" s="393" t="s">
        <v>279</v>
      </c>
      <c r="E19" s="393" t="s">
        <v>92</v>
      </c>
      <c r="F19" s="393" t="s">
        <v>91</v>
      </c>
      <c r="G19" s="393" t="s">
        <v>275</v>
      </c>
      <c r="H19" s="393" t="s">
        <v>90</v>
      </c>
      <c r="I19" s="393" t="s">
        <v>89</v>
      </c>
      <c r="J19" s="393" t="s">
        <v>88</v>
      </c>
      <c r="K19" s="393" t="s">
        <v>87</v>
      </c>
      <c r="L19" s="393" t="s">
        <v>86</v>
      </c>
      <c r="M19" s="393" t="s">
        <v>85</v>
      </c>
      <c r="N19" s="393" t="s">
        <v>84</v>
      </c>
      <c r="O19" s="393" t="s">
        <v>83</v>
      </c>
      <c r="P19" s="393" t="s">
        <v>82</v>
      </c>
      <c r="Q19" s="393" t="s">
        <v>278</v>
      </c>
      <c r="R19" s="393"/>
      <c r="S19" s="396" t="s">
        <v>350</v>
      </c>
      <c r="T19" s="3"/>
      <c r="U19" s="3"/>
      <c r="V19" s="3"/>
      <c r="W19" s="3"/>
      <c r="X19" s="3"/>
      <c r="Y19" s="3"/>
    </row>
    <row r="20" spans="1:28" s="2" customFormat="1" ht="180.75" customHeight="1" x14ac:dyDescent="0.2">
      <c r="A20" s="393"/>
      <c r="B20" s="393"/>
      <c r="C20" s="395"/>
      <c r="D20" s="393"/>
      <c r="E20" s="393"/>
      <c r="F20" s="393"/>
      <c r="G20" s="393"/>
      <c r="H20" s="393"/>
      <c r="I20" s="393"/>
      <c r="J20" s="393"/>
      <c r="K20" s="393"/>
      <c r="L20" s="393"/>
      <c r="M20" s="393"/>
      <c r="N20" s="393"/>
      <c r="O20" s="393"/>
      <c r="P20" s="393"/>
      <c r="Q20" s="36" t="s">
        <v>276</v>
      </c>
      <c r="R20" s="37" t="s">
        <v>277</v>
      </c>
      <c r="S20" s="396"/>
      <c r="T20" s="26"/>
      <c r="U20" s="26"/>
      <c r="V20" s="26"/>
      <c r="W20" s="26"/>
      <c r="X20" s="26"/>
      <c r="Y20" s="26"/>
      <c r="Z20" s="25"/>
      <c r="AA20" s="25"/>
      <c r="AB20" s="25"/>
    </row>
    <row r="21" spans="1:28" s="2" customFormat="1" ht="18.75" x14ac:dyDescent="0.2">
      <c r="A21" s="36">
        <v>1</v>
      </c>
      <c r="B21" s="39">
        <v>2</v>
      </c>
      <c r="C21" s="36">
        <v>3</v>
      </c>
      <c r="D21" s="39">
        <v>4</v>
      </c>
      <c r="E21" s="36">
        <v>5</v>
      </c>
      <c r="F21" s="39">
        <v>6</v>
      </c>
      <c r="G21" s="91">
        <v>7</v>
      </c>
      <c r="H21" s="92">
        <v>8</v>
      </c>
      <c r="I21" s="91">
        <v>9</v>
      </c>
      <c r="J21" s="92">
        <v>10</v>
      </c>
      <c r="K21" s="91">
        <v>11</v>
      </c>
      <c r="L21" s="92">
        <v>12</v>
      </c>
      <c r="M21" s="91">
        <v>13</v>
      </c>
      <c r="N21" s="92">
        <v>14</v>
      </c>
      <c r="O21" s="91">
        <v>15</v>
      </c>
      <c r="P21" s="92">
        <v>16</v>
      </c>
      <c r="Q21" s="91">
        <v>17</v>
      </c>
      <c r="R21" s="92">
        <v>18</v>
      </c>
      <c r="S21" s="91">
        <v>19</v>
      </c>
      <c r="T21" s="26"/>
      <c r="U21" s="26"/>
      <c r="V21" s="26"/>
      <c r="W21" s="26"/>
      <c r="X21" s="26"/>
      <c r="Y21" s="26"/>
      <c r="Z21" s="25"/>
      <c r="AA21" s="25"/>
      <c r="AB21" s="25"/>
    </row>
    <row r="22" spans="1:28" s="2" customFormat="1" ht="32.25" customHeight="1" x14ac:dyDescent="0.2">
      <c r="A22" s="36" t="s">
        <v>274</v>
      </c>
      <c r="B22" s="128" t="s">
        <v>274</v>
      </c>
      <c r="C22" s="128" t="s">
        <v>274</v>
      </c>
      <c r="D22" s="128" t="s">
        <v>274</v>
      </c>
      <c r="E22" s="128" t="s">
        <v>274</v>
      </c>
      <c r="F22" s="128" t="s">
        <v>274</v>
      </c>
      <c r="G22" s="128" t="s">
        <v>274</v>
      </c>
      <c r="H22" s="128" t="s">
        <v>274</v>
      </c>
      <c r="I22" s="128" t="s">
        <v>274</v>
      </c>
      <c r="J22" s="128" t="s">
        <v>274</v>
      </c>
      <c r="K22" s="128" t="s">
        <v>274</v>
      </c>
      <c r="L22" s="128" t="s">
        <v>274</v>
      </c>
      <c r="M22" s="128" t="s">
        <v>274</v>
      </c>
      <c r="N22" s="128" t="s">
        <v>274</v>
      </c>
      <c r="O22" s="128" t="s">
        <v>274</v>
      </c>
      <c r="P22" s="128" t="s">
        <v>274</v>
      </c>
      <c r="Q22" s="128" t="s">
        <v>274</v>
      </c>
      <c r="R22" s="128" t="s">
        <v>274</v>
      </c>
      <c r="S22" s="128"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topLeftCell="A22" zoomScale="60" zoomScaleNormal="60" workbookViewId="0">
      <selection activeCell="O26" sqref="O26"/>
    </sheetView>
  </sheetViews>
  <sheetFormatPr defaultColWidth="10.7109375" defaultRowHeight="15.75" x14ac:dyDescent="0.25"/>
  <cols>
    <col min="1" max="1" width="9.5703125" style="40" customWidth="1"/>
    <col min="2" max="2" width="16" style="40" customWidth="1"/>
    <col min="3" max="3" width="15.85546875" style="40" customWidth="1"/>
    <col min="4" max="4" width="18.42578125" style="40" customWidth="1"/>
    <col min="5" max="5" width="11.140625" style="40" customWidth="1"/>
    <col min="6" max="6" width="11" style="40" customWidth="1"/>
    <col min="7" max="7" width="14.85546875" style="40" customWidth="1"/>
    <col min="8" max="8" width="14" style="40" customWidth="1"/>
    <col min="9" max="9" width="7.28515625" style="40" customWidth="1"/>
    <col min="10" max="10" width="11.85546875" style="40" customWidth="1"/>
    <col min="11" max="11" width="10.28515625" style="40" customWidth="1"/>
    <col min="12" max="15" width="8.7109375" style="40" customWidth="1"/>
    <col min="16" max="16" width="19.42578125" style="40" customWidth="1"/>
    <col min="17" max="17" width="74.140625" style="40" customWidth="1"/>
    <col min="18" max="18" width="22.28515625" style="40" customWidth="1"/>
    <col min="19" max="19" width="25.7109375" style="40" customWidth="1"/>
    <col min="20" max="20" width="6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81" t="str">
        <f>'2. паспорт  ТП'!A4</f>
        <v>Год раскрытия информации: 2023 год</v>
      </c>
      <c r="B5" s="381"/>
      <c r="C5" s="381"/>
      <c r="D5" s="381"/>
      <c r="E5" s="381"/>
      <c r="F5" s="381"/>
      <c r="G5" s="381"/>
      <c r="H5" s="381"/>
      <c r="I5" s="381"/>
      <c r="J5" s="381"/>
      <c r="K5" s="381"/>
      <c r="L5" s="381"/>
      <c r="M5" s="381"/>
      <c r="N5" s="381"/>
      <c r="O5" s="381"/>
      <c r="P5" s="381"/>
      <c r="Q5" s="381"/>
      <c r="R5" s="381"/>
      <c r="S5" s="381"/>
      <c r="T5" s="381"/>
    </row>
    <row r="6" spans="1:20" s="10" customFormat="1" x14ac:dyDescent="0.2">
      <c r="A6" s="133"/>
      <c r="B6" s="16"/>
      <c r="C6" s="16"/>
      <c r="D6" s="16"/>
      <c r="E6" s="16"/>
      <c r="F6" s="16"/>
      <c r="G6" s="16"/>
      <c r="H6" s="134"/>
      <c r="I6" s="16"/>
      <c r="J6" s="16"/>
      <c r="K6" s="16"/>
      <c r="L6" s="16"/>
      <c r="M6" s="16"/>
      <c r="N6" s="16"/>
      <c r="O6" s="16"/>
      <c r="P6" s="16"/>
      <c r="Q6" s="16"/>
      <c r="R6" s="16"/>
      <c r="S6" s="16"/>
      <c r="T6" s="16"/>
    </row>
    <row r="7" spans="1:20" s="10" customFormat="1" ht="18.75" x14ac:dyDescent="0.2">
      <c r="A7" s="390" t="s">
        <v>6</v>
      </c>
      <c r="B7" s="390"/>
      <c r="C7" s="390"/>
      <c r="D7" s="390"/>
      <c r="E7" s="390"/>
      <c r="F7" s="390"/>
      <c r="G7" s="390"/>
      <c r="H7" s="390"/>
      <c r="I7" s="390"/>
      <c r="J7" s="390"/>
      <c r="K7" s="390"/>
      <c r="L7" s="390"/>
      <c r="M7" s="390"/>
      <c r="N7" s="390"/>
      <c r="O7" s="390"/>
      <c r="P7" s="390"/>
      <c r="Q7" s="390"/>
      <c r="R7" s="390"/>
      <c r="S7" s="390"/>
      <c r="T7" s="390"/>
    </row>
    <row r="8" spans="1:20" s="10" customFormat="1" ht="18.75" x14ac:dyDescent="0.2">
      <c r="A8" s="390"/>
      <c r="B8" s="390"/>
      <c r="C8" s="390"/>
      <c r="D8" s="390"/>
      <c r="E8" s="390"/>
      <c r="F8" s="390"/>
      <c r="G8" s="390"/>
      <c r="H8" s="390"/>
      <c r="I8" s="390"/>
      <c r="J8" s="390"/>
      <c r="K8" s="390"/>
      <c r="L8" s="390"/>
      <c r="M8" s="390"/>
      <c r="N8" s="390"/>
      <c r="O8" s="390"/>
      <c r="P8" s="390"/>
      <c r="Q8" s="390"/>
      <c r="R8" s="390"/>
      <c r="S8" s="390"/>
      <c r="T8" s="390"/>
    </row>
    <row r="9" spans="1:20" s="10" customFormat="1" ht="18.75" customHeight="1" x14ac:dyDescent="0.2">
      <c r="A9" s="391" t="str">
        <f>'2. паспорт  ТП'!A8</f>
        <v>Акционерное общество "Россети Янтарь"</v>
      </c>
      <c r="B9" s="391"/>
      <c r="C9" s="391"/>
      <c r="D9" s="391"/>
      <c r="E9" s="391"/>
      <c r="F9" s="391"/>
      <c r="G9" s="391"/>
      <c r="H9" s="391"/>
      <c r="I9" s="391"/>
      <c r="J9" s="391"/>
      <c r="K9" s="391"/>
      <c r="L9" s="391"/>
      <c r="M9" s="391"/>
      <c r="N9" s="391"/>
      <c r="O9" s="391"/>
      <c r="P9" s="391"/>
      <c r="Q9" s="391"/>
      <c r="R9" s="391"/>
      <c r="S9" s="391"/>
      <c r="T9" s="391"/>
    </row>
    <row r="10" spans="1:20" s="10" customFormat="1" ht="18.75" customHeight="1" x14ac:dyDescent="0.2">
      <c r="A10" s="387" t="s">
        <v>5</v>
      </c>
      <c r="B10" s="387"/>
      <c r="C10" s="387"/>
      <c r="D10" s="387"/>
      <c r="E10" s="387"/>
      <c r="F10" s="387"/>
      <c r="G10" s="387"/>
      <c r="H10" s="387"/>
      <c r="I10" s="387"/>
      <c r="J10" s="387"/>
      <c r="K10" s="387"/>
      <c r="L10" s="387"/>
      <c r="M10" s="387"/>
      <c r="N10" s="387"/>
      <c r="O10" s="387"/>
      <c r="P10" s="387"/>
      <c r="Q10" s="387"/>
      <c r="R10" s="387"/>
      <c r="S10" s="387"/>
      <c r="T10" s="387"/>
    </row>
    <row r="11" spans="1:20" s="10" customFormat="1" ht="18.75" x14ac:dyDescent="0.2">
      <c r="A11" s="390"/>
      <c r="B11" s="390"/>
      <c r="C11" s="390"/>
      <c r="D11" s="390"/>
      <c r="E11" s="390"/>
      <c r="F11" s="390"/>
      <c r="G11" s="390"/>
      <c r="H11" s="390"/>
      <c r="I11" s="390"/>
      <c r="J11" s="390"/>
      <c r="K11" s="390"/>
      <c r="L11" s="390"/>
      <c r="M11" s="390"/>
      <c r="N11" s="390"/>
      <c r="O11" s="390"/>
      <c r="P11" s="390"/>
      <c r="Q11" s="390"/>
      <c r="R11" s="390"/>
      <c r="S11" s="390"/>
      <c r="T11" s="390"/>
    </row>
    <row r="12" spans="1:20" s="10" customFormat="1" ht="18.75" customHeight="1" x14ac:dyDescent="0.2">
      <c r="A12" s="391" t="str">
        <f>'2. паспорт  ТП'!A11</f>
        <v>L_19-0964</v>
      </c>
      <c r="B12" s="391"/>
      <c r="C12" s="391"/>
      <c r="D12" s="391"/>
      <c r="E12" s="391"/>
      <c r="F12" s="391"/>
      <c r="G12" s="391"/>
      <c r="H12" s="391"/>
      <c r="I12" s="391"/>
      <c r="J12" s="391"/>
      <c r="K12" s="391"/>
      <c r="L12" s="391"/>
      <c r="M12" s="391"/>
      <c r="N12" s="391"/>
      <c r="O12" s="391"/>
      <c r="P12" s="391"/>
      <c r="Q12" s="391"/>
      <c r="R12" s="391"/>
      <c r="S12" s="391"/>
      <c r="T12" s="391"/>
    </row>
    <row r="13" spans="1:20" s="10" customFormat="1" ht="18.75" customHeight="1" x14ac:dyDescent="0.2">
      <c r="A13" s="387" t="s">
        <v>4</v>
      </c>
      <c r="B13" s="387"/>
      <c r="C13" s="387"/>
      <c r="D13" s="387"/>
      <c r="E13" s="387"/>
      <c r="F13" s="387"/>
      <c r="G13" s="387"/>
      <c r="H13" s="387"/>
      <c r="I13" s="387"/>
      <c r="J13" s="387"/>
      <c r="K13" s="387"/>
      <c r="L13" s="387"/>
      <c r="M13" s="387"/>
      <c r="N13" s="387"/>
      <c r="O13" s="387"/>
      <c r="P13" s="387"/>
      <c r="Q13" s="387"/>
      <c r="R13" s="387"/>
      <c r="S13" s="387"/>
      <c r="T13" s="387"/>
    </row>
    <row r="14" spans="1:20" s="7" customFormat="1" ht="15.75" customHeight="1" x14ac:dyDescent="0.2">
      <c r="A14" s="392"/>
      <c r="B14" s="392"/>
      <c r="C14" s="392"/>
      <c r="D14" s="392"/>
      <c r="E14" s="392"/>
      <c r="F14" s="392"/>
      <c r="G14" s="392"/>
      <c r="H14" s="392"/>
      <c r="I14" s="392"/>
      <c r="J14" s="392"/>
      <c r="K14" s="392"/>
      <c r="L14" s="392"/>
      <c r="M14" s="392"/>
      <c r="N14" s="392"/>
      <c r="O14" s="392"/>
      <c r="P14" s="392"/>
      <c r="Q14" s="392"/>
      <c r="R14" s="392"/>
      <c r="S14" s="392"/>
      <c r="T14" s="392"/>
    </row>
    <row r="15" spans="1:20" s="2" customFormat="1" ht="34.5" customHeight="1" x14ac:dyDescent="0.2">
      <c r="A15" s="386" t="str">
        <f>'2. паспорт  ТП'!A14</f>
        <v>Строительство КЛ 15 кВ взамен существующей ВЛ 15 кВ № 15-82 (инв. № 5114524) протяженностью 0,52 км в Полесском районе</v>
      </c>
      <c r="B15" s="386"/>
      <c r="C15" s="386"/>
      <c r="D15" s="386"/>
      <c r="E15" s="386"/>
      <c r="F15" s="386"/>
      <c r="G15" s="386"/>
      <c r="H15" s="386"/>
      <c r="I15" s="386"/>
      <c r="J15" s="386"/>
      <c r="K15" s="386"/>
      <c r="L15" s="386"/>
      <c r="M15" s="386"/>
      <c r="N15" s="386"/>
      <c r="O15" s="386"/>
      <c r="P15" s="386"/>
      <c r="Q15" s="386"/>
      <c r="R15" s="386"/>
      <c r="S15" s="386"/>
      <c r="T15" s="386"/>
    </row>
    <row r="16" spans="1:20" s="2" customFormat="1" ht="15" customHeight="1" x14ac:dyDescent="0.2">
      <c r="A16" s="378" t="s">
        <v>3</v>
      </c>
      <c r="B16" s="378"/>
      <c r="C16" s="378"/>
      <c r="D16" s="378"/>
      <c r="E16" s="378"/>
      <c r="F16" s="378"/>
      <c r="G16" s="378"/>
      <c r="H16" s="378"/>
      <c r="I16" s="378"/>
      <c r="J16" s="378"/>
      <c r="K16" s="378"/>
      <c r="L16" s="378"/>
      <c r="M16" s="378"/>
      <c r="N16" s="378"/>
      <c r="O16" s="378"/>
      <c r="P16" s="378"/>
      <c r="Q16" s="378"/>
      <c r="R16" s="378"/>
      <c r="S16" s="378"/>
      <c r="T16" s="378"/>
    </row>
    <row r="17" spans="1:113" s="2" customFormat="1" ht="15" customHeight="1" x14ac:dyDescent="0.2">
      <c r="A17" s="401"/>
      <c r="B17" s="401"/>
      <c r="C17" s="401"/>
      <c r="D17" s="401"/>
      <c r="E17" s="401"/>
      <c r="F17" s="401"/>
      <c r="G17" s="401"/>
      <c r="H17" s="401"/>
      <c r="I17" s="401"/>
      <c r="J17" s="401"/>
      <c r="K17" s="401"/>
      <c r="L17" s="401"/>
      <c r="M17" s="401"/>
      <c r="N17" s="401"/>
      <c r="O17" s="401"/>
      <c r="P17" s="401"/>
      <c r="Q17" s="401"/>
      <c r="R17" s="401"/>
      <c r="S17" s="401"/>
      <c r="T17" s="401"/>
    </row>
    <row r="18" spans="1:113" s="2" customFormat="1" ht="15" customHeight="1" x14ac:dyDescent="0.2">
      <c r="A18" s="380" t="s">
        <v>361</v>
      </c>
      <c r="B18" s="380"/>
      <c r="C18" s="380"/>
      <c r="D18" s="380"/>
      <c r="E18" s="380"/>
      <c r="F18" s="380"/>
      <c r="G18" s="380"/>
      <c r="H18" s="380"/>
      <c r="I18" s="380"/>
      <c r="J18" s="380"/>
      <c r="K18" s="380"/>
      <c r="L18" s="380"/>
      <c r="M18" s="380"/>
      <c r="N18" s="380"/>
      <c r="O18" s="380"/>
      <c r="P18" s="380"/>
      <c r="Q18" s="380"/>
      <c r="R18" s="380"/>
      <c r="S18" s="380"/>
      <c r="T18" s="380"/>
    </row>
    <row r="19" spans="1:113" s="48" customFormat="1" ht="21" customHeight="1" x14ac:dyDescent="0.25">
      <c r="A19" s="402"/>
      <c r="B19" s="402"/>
      <c r="C19" s="402"/>
      <c r="D19" s="402"/>
      <c r="E19" s="402"/>
      <c r="F19" s="402"/>
      <c r="G19" s="402"/>
      <c r="H19" s="402"/>
      <c r="I19" s="402"/>
      <c r="J19" s="402"/>
      <c r="K19" s="402"/>
      <c r="L19" s="402"/>
      <c r="M19" s="402"/>
      <c r="N19" s="402"/>
      <c r="O19" s="402"/>
      <c r="P19" s="402"/>
      <c r="Q19" s="402"/>
      <c r="R19" s="402"/>
      <c r="S19" s="402"/>
      <c r="T19" s="402"/>
    </row>
    <row r="20" spans="1:113" ht="46.5" customHeight="1" x14ac:dyDescent="0.25">
      <c r="A20" s="403" t="s">
        <v>2</v>
      </c>
      <c r="B20" s="406" t="s">
        <v>194</v>
      </c>
      <c r="C20" s="407"/>
      <c r="D20" s="410" t="s">
        <v>114</v>
      </c>
      <c r="E20" s="406" t="s">
        <v>389</v>
      </c>
      <c r="F20" s="407"/>
      <c r="G20" s="406" t="s">
        <v>213</v>
      </c>
      <c r="H20" s="407"/>
      <c r="I20" s="406" t="s">
        <v>113</v>
      </c>
      <c r="J20" s="407"/>
      <c r="K20" s="410" t="s">
        <v>112</v>
      </c>
      <c r="L20" s="406" t="s">
        <v>111</v>
      </c>
      <c r="M20" s="407"/>
      <c r="N20" s="406" t="s">
        <v>386</v>
      </c>
      <c r="O20" s="407"/>
      <c r="P20" s="410" t="s">
        <v>408</v>
      </c>
      <c r="Q20" s="398" t="s">
        <v>110</v>
      </c>
      <c r="R20" s="399"/>
      <c r="S20" s="398" t="s">
        <v>109</v>
      </c>
      <c r="T20" s="400"/>
    </row>
    <row r="21" spans="1:113" ht="204.75" customHeight="1" x14ac:dyDescent="0.25">
      <c r="A21" s="404"/>
      <c r="B21" s="408"/>
      <c r="C21" s="409"/>
      <c r="D21" s="412"/>
      <c r="E21" s="408"/>
      <c r="F21" s="409"/>
      <c r="G21" s="408"/>
      <c r="H21" s="409"/>
      <c r="I21" s="408"/>
      <c r="J21" s="409"/>
      <c r="K21" s="411"/>
      <c r="L21" s="408"/>
      <c r="M21" s="409"/>
      <c r="N21" s="408"/>
      <c r="O21" s="409"/>
      <c r="P21" s="411"/>
      <c r="Q21" s="66" t="s">
        <v>108</v>
      </c>
      <c r="R21" s="66" t="s">
        <v>360</v>
      </c>
      <c r="S21" s="66" t="s">
        <v>107</v>
      </c>
      <c r="T21" s="66" t="s">
        <v>106</v>
      </c>
    </row>
    <row r="22" spans="1:113" ht="51.75" customHeight="1" x14ac:dyDescent="0.25">
      <c r="A22" s="405"/>
      <c r="B22" s="98" t="s">
        <v>104</v>
      </c>
      <c r="C22" s="98" t="s">
        <v>105</v>
      </c>
      <c r="D22" s="411"/>
      <c r="E22" s="98" t="s">
        <v>104</v>
      </c>
      <c r="F22" s="98" t="s">
        <v>105</v>
      </c>
      <c r="G22" s="98" t="s">
        <v>104</v>
      </c>
      <c r="H22" s="98" t="s">
        <v>105</v>
      </c>
      <c r="I22" s="98" t="s">
        <v>104</v>
      </c>
      <c r="J22" s="98" t="s">
        <v>105</v>
      </c>
      <c r="K22" s="98" t="s">
        <v>104</v>
      </c>
      <c r="L22" s="98" t="s">
        <v>104</v>
      </c>
      <c r="M22" s="98" t="s">
        <v>105</v>
      </c>
      <c r="N22" s="98" t="s">
        <v>104</v>
      </c>
      <c r="O22" s="98" t="s">
        <v>105</v>
      </c>
      <c r="P22" s="99" t="s">
        <v>104</v>
      </c>
      <c r="Q22" s="66" t="s">
        <v>104</v>
      </c>
      <c r="R22" s="66" t="s">
        <v>104</v>
      </c>
      <c r="S22" s="66" t="s">
        <v>104</v>
      </c>
      <c r="T22" s="66" t="s">
        <v>104</v>
      </c>
    </row>
    <row r="23" spans="1:113"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row>
    <row r="24" spans="1:113" s="48" customFormat="1" ht="75" customHeight="1" x14ac:dyDescent="0.25">
      <c r="A24" s="262" t="s">
        <v>274</v>
      </c>
      <c r="B24" s="268" t="s">
        <v>274</v>
      </c>
      <c r="C24" s="268" t="s">
        <v>274</v>
      </c>
      <c r="D24" s="263" t="s">
        <v>274</v>
      </c>
      <c r="E24" s="269" t="s">
        <v>274</v>
      </c>
      <c r="F24" s="264" t="s">
        <v>274</v>
      </c>
      <c r="G24" s="270" t="s">
        <v>274</v>
      </c>
      <c r="H24" s="270" t="s">
        <v>274</v>
      </c>
      <c r="I24" s="262" t="s">
        <v>274</v>
      </c>
      <c r="J24" s="262" t="s">
        <v>274</v>
      </c>
      <c r="K24" s="262" t="s">
        <v>274</v>
      </c>
      <c r="L24" s="262" t="s">
        <v>274</v>
      </c>
      <c r="M24" s="262" t="s">
        <v>274</v>
      </c>
      <c r="N24" s="271" t="s">
        <v>274</v>
      </c>
      <c r="O24" s="271" t="s">
        <v>274</v>
      </c>
      <c r="P24" s="262" t="s">
        <v>274</v>
      </c>
      <c r="Q24" s="265" t="s">
        <v>274</v>
      </c>
      <c r="R24" s="265" t="s">
        <v>274</v>
      </c>
      <c r="S24" s="265" t="s">
        <v>274</v>
      </c>
      <c r="T24" s="265" t="s">
        <v>274</v>
      </c>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397" t="s">
        <v>395</v>
      </c>
      <c r="C28" s="397"/>
      <c r="D28" s="397"/>
      <c r="E28" s="397"/>
      <c r="F28" s="397"/>
      <c r="G28" s="397"/>
      <c r="H28" s="397"/>
      <c r="I28" s="397"/>
      <c r="J28" s="397"/>
      <c r="K28" s="397"/>
      <c r="L28" s="397"/>
      <c r="M28" s="397"/>
      <c r="N28" s="397"/>
      <c r="O28" s="397"/>
      <c r="P28" s="397"/>
      <c r="Q28" s="397"/>
      <c r="R28" s="397"/>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359</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80" zoomScaleSheetLayoutView="80" workbookViewId="0">
      <selection activeCell="M31" sqref="M31"/>
    </sheetView>
  </sheetViews>
  <sheetFormatPr defaultColWidth="10.7109375" defaultRowHeight="15.75" x14ac:dyDescent="0.25"/>
  <cols>
    <col min="1" max="1" width="10.7109375" style="40"/>
    <col min="2" max="5" width="21.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42.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81" t="str">
        <f>'3.1. паспорт Техсостояние ПС'!A5</f>
        <v>Год раскрытия информации: 2023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10" customFormat="1" x14ac:dyDescent="0.2">
      <c r="A6" s="101"/>
      <c r="B6" s="101"/>
      <c r="C6" s="101"/>
      <c r="D6" s="101"/>
      <c r="E6" s="101"/>
      <c r="F6" s="101"/>
      <c r="G6" s="101"/>
      <c r="H6" s="101"/>
      <c r="I6" s="101"/>
      <c r="J6" s="101"/>
      <c r="K6" s="101"/>
      <c r="L6" s="101"/>
      <c r="M6" s="101"/>
      <c r="N6" s="101"/>
      <c r="O6" s="101"/>
      <c r="P6" s="101"/>
      <c r="Q6" s="101"/>
      <c r="R6" s="101"/>
      <c r="S6" s="101"/>
      <c r="T6" s="101"/>
      <c r="U6" s="16"/>
      <c r="V6" s="16"/>
      <c r="W6" s="16"/>
      <c r="X6" s="16"/>
      <c r="Y6" s="16"/>
      <c r="Z6" s="16"/>
      <c r="AA6" s="16"/>
    </row>
    <row r="7" spans="1:27" s="10" customFormat="1" ht="18.75" x14ac:dyDescent="0.2">
      <c r="A7" s="16"/>
      <c r="B7" s="16"/>
      <c r="C7" s="16"/>
      <c r="D7" s="16"/>
      <c r="E7" s="390" t="s">
        <v>6</v>
      </c>
      <c r="F7" s="390"/>
      <c r="G7" s="390"/>
      <c r="H7" s="390"/>
      <c r="I7" s="390"/>
      <c r="J7" s="390"/>
      <c r="K7" s="390"/>
      <c r="L7" s="390"/>
      <c r="M7" s="390"/>
      <c r="N7" s="390"/>
      <c r="O7" s="390"/>
      <c r="P7" s="390"/>
      <c r="Q7" s="390"/>
      <c r="R7" s="390"/>
      <c r="S7" s="390"/>
      <c r="T7" s="390"/>
      <c r="U7" s="390"/>
      <c r="V7" s="390"/>
      <c r="W7" s="390"/>
      <c r="X7" s="390"/>
      <c r="Y7" s="390"/>
      <c r="Z7" s="16"/>
      <c r="AA7" s="16"/>
    </row>
    <row r="8" spans="1:27" s="10" customFormat="1" ht="18.75" x14ac:dyDescent="0.2">
      <c r="A8" s="16"/>
      <c r="B8" s="16"/>
      <c r="C8" s="16"/>
      <c r="D8" s="16"/>
      <c r="E8" s="135"/>
      <c r="F8" s="135"/>
      <c r="G8" s="135"/>
      <c r="H8" s="135"/>
      <c r="I8" s="135"/>
      <c r="J8" s="135"/>
      <c r="K8" s="135"/>
      <c r="L8" s="135"/>
      <c r="M8" s="135"/>
      <c r="N8" s="135"/>
      <c r="O8" s="135"/>
      <c r="P8" s="135"/>
      <c r="Q8" s="135"/>
      <c r="R8" s="135"/>
      <c r="S8" s="136"/>
      <c r="T8" s="136"/>
      <c r="U8" s="136"/>
      <c r="V8" s="136"/>
      <c r="W8" s="136"/>
      <c r="X8" s="16"/>
      <c r="Y8" s="16"/>
      <c r="Z8" s="16"/>
      <c r="AA8" s="16"/>
    </row>
    <row r="9" spans="1:27" s="10" customFormat="1" ht="18.75" customHeight="1" x14ac:dyDescent="0.2">
      <c r="A9" s="16"/>
      <c r="B9" s="16"/>
      <c r="C9" s="16"/>
      <c r="D9" s="16"/>
      <c r="E9" s="391" t="str">
        <f>'3.1. паспорт Техсостояние ПС'!A9</f>
        <v>Акционерное общество "Россети Янтарь"</v>
      </c>
      <c r="F9" s="391"/>
      <c r="G9" s="391"/>
      <c r="H9" s="391"/>
      <c r="I9" s="391"/>
      <c r="J9" s="391"/>
      <c r="K9" s="391"/>
      <c r="L9" s="391"/>
      <c r="M9" s="391"/>
      <c r="N9" s="391"/>
      <c r="O9" s="391"/>
      <c r="P9" s="391"/>
      <c r="Q9" s="391"/>
      <c r="R9" s="391"/>
      <c r="S9" s="391"/>
      <c r="T9" s="391"/>
      <c r="U9" s="391"/>
      <c r="V9" s="391"/>
      <c r="W9" s="391"/>
      <c r="X9" s="391"/>
      <c r="Y9" s="391"/>
      <c r="Z9" s="16"/>
      <c r="AA9" s="16"/>
    </row>
    <row r="10" spans="1:27" s="10" customFormat="1" ht="18.75" customHeight="1" x14ac:dyDescent="0.2">
      <c r="A10" s="16"/>
      <c r="B10" s="16"/>
      <c r="C10" s="16"/>
      <c r="D10" s="16"/>
      <c r="E10" s="387" t="s">
        <v>5</v>
      </c>
      <c r="F10" s="387"/>
      <c r="G10" s="387"/>
      <c r="H10" s="387"/>
      <c r="I10" s="387"/>
      <c r="J10" s="387"/>
      <c r="K10" s="387"/>
      <c r="L10" s="387"/>
      <c r="M10" s="387"/>
      <c r="N10" s="387"/>
      <c r="O10" s="387"/>
      <c r="P10" s="387"/>
      <c r="Q10" s="387"/>
      <c r="R10" s="387"/>
      <c r="S10" s="387"/>
      <c r="T10" s="387"/>
      <c r="U10" s="387"/>
      <c r="V10" s="387"/>
      <c r="W10" s="387"/>
      <c r="X10" s="387"/>
      <c r="Y10" s="387"/>
      <c r="Z10" s="16"/>
      <c r="AA10" s="16"/>
    </row>
    <row r="11" spans="1:27" s="10" customFormat="1" ht="18.75" x14ac:dyDescent="0.2">
      <c r="A11" s="16"/>
      <c r="B11" s="16"/>
      <c r="C11" s="16"/>
      <c r="D11" s="16"/>
      <c r="E11" s="135"/>
      <c r="F11" s="135"/>
      <c r="G11" s="135"/>
      <c r="H11" s="135"/>
      <c r="I11" s="135"/>
      <c r="J11" s="135"/>
      <c r="K11" s="135"/>
      <c r="L11" s="135"/>
      <c r="M11" s="135"/>
      <c r="N11" s="135"/>
      <c r="O11" s="135"/>
      <c r="P11" s="135"/>
      <c r="Q11" s="135"/>
      <c r="R11" s="135"/>
      <c r="S11" s="136"/>
      <c r="T11" s="136"/>
      <c r="U11" s="136"/>
      <c r="V11" s="136"/>
      <c r="W11" s="136"/>
      <c r="X11" s="16"/>
      <c r="Y11" s="16"/>
      <c r="Z11" s="16"/>
      <c r="AA11" s="16"/>
    </row>
    <row r="12" spans="1:27" s="10" customFormat="1" ht="18.75" customHeight="1" x14ac:dyDescent="0.2">
      <c r="A12" s="16"/>
      <c r="B12" s="16"/>
      <c r="C12" s="16"/>
      <c r="D12" s="16"/>
      <c r="E12" s="391" t="str">
        <f>'1. паспорт местоположение'!A12</f>
        <v>L_19-0964</v>
      </c>
      <c r="F12" s="391"/>
      <c r="G12" s="391"/>
      <c r="H12" s="391"/>
      <c r="I12" s="391"/>
      <c r="J12" s="391"/>
      <c r="K12" s="391"/>
      <c r="L12" s="391"/>
      <c r="M12" s="391"/>
      <c r="N12" s="391"/>
      <c r="O12" s="391"/>
      <c r="P12" s="391"/>
      <c r="Q12" s="391"/>
      <c r="R12" s="391"/>
      <c r="S12" s="391"/>
      <c r="T12" s="391"/>
      <c r="U12" s="391"/>
      <c r="V12" s="391"/>
      <c r="W12" s="391"/>
      <c r="X12" s="391"/>
      <c r="Y12" s="391"/>
      <c r="Z12" s="16"/>
      <c r="AA12" s="16"/>
    </row>
    <row r="13" spans="1:27" s="10" customFormat="1" ht="18.75" customHeight="1" x14ac:dyDescent="0.2">
      <c r="A13" s="16"/>
      <c r="B13" s="16"/>
      <c r="C13" s="16"/>
      <c r="D13" s="16"/>
      <c r="E13" s="387" t="s">
        <v>4</v>
      </c>
      <c r="F13" s="387"/>
      <c r="G13" s="387"/>
      <c r="H13" s="387"/>
      <c r="I13" s="387"/>
      <c r="J13" s="387"/>
      <c r="K13" s="387"/>
      <c r="L13" s="387"/>
      <c r="M13" s="387"/>
      <c r="N13" s="387"/>
      <c r="O13" s="387"/>
      <c r="P13" s="387"/>
      <c r="Q13" s="387"/>
      <c r="R13" s="387"/>
      <c r="S13" s="387"/>
      <c r="T13" s="387"/>
      <c r="U13" s="387"/>
      <c r="V13" s="387"/>
      <c r="W13" s="387"/>
      <c r="X13" s="387"/>
      <c r="Y13" s="387"/>
      <c r="Z13" s="16"/>
      <c r="AA13" s="16"/>
    </row>
    <row r="14" spans="1:27" s="7" customFormat="1" ht="15.75" customHeight="1" x14ac:dyDescent="0.2">
      <c r="A14" s="137"/>
      <c r="B14" s="137"/>
      <c r="C14" s="137"/>
      <c r="D14" s="137"/>
      <c r="E14" s="138"/>
      <c r="F14" s="138"/>
      <c r="G14" s="138"/>
      <c r="H14" s="138"/>
      <c r="I14" s="138"/>
      <c r="J14" s="138"/>
      <c r="K14" s="138"/>
      <c r="L14" s="138"/>
      <c r="M14" s="138"/>
      <c r="N14" s="138"/>
      <c r="O14" s="138"/>
      <c r="P14" s="138"/>
      <c r="Q14" s="138"/>
      <c r="R14" s="138"/>
      <c r="S14" s="138"/>
      <c r="T14" s="138"/>
      <c r="U14" s="138"/>
      <c r="V14" s="138"/>
      <c r="W14" s="138"/>
      <c r="X14" s="137"/>
      <c r="Y14" s="137"/>
      <c r="Z14" s="137"/>
      <c r="AA14" s="137"/>
    </row>
    <row r="15" spans="1:27" s="2" customFormat="1" ht="39" customHeight="1" x14ac:dyDescent="0.2">
      <c r="A15" s="139"/>
      <c r="B15" s="139"/>
      <c r="C15" s="139"/>
      <c r="D15" s="139"/>
      <c r="E15" s="386" t="str">
        <f>'3.1. паспорт Техсостояние ПС'!A15</f>
        <v>Строительство КЛ 15 кВ взамен существующей ВЛ 15 кВ № 15-82 (инв. № 5114524) протяженностью 0,52 км в Полесском районе</v>
      </c>
      <c r="F15" s="386"/>
      <c r="G15" s="386"/>
      <c r="H15" s="386"/>
      <c r="I15" s="386"/>
      <c r="J15" s="386"/>
      <c r="K15" s="386"/>
      <c r="L15" s="386"/>
      <c r="M15" s="386"/>
      <c r="N15" s="386"/>
      <c r="O15" s="386"/>
      <c r="P15" s="386"/>
      <c r="Q15" s="386"/>
      <c r="R15" s="386"/>
      <c r="S15" s="386"/>
      <c r="T15" s="386"/>
      <c r="U15" s="386"/>
      <c r="V15" s="386"/>
      <c r="W15" s="386"/>
      <c r="X15" s="386"/>
      <c r="Y15" s="386"/>
      <c r="Z15" s="139"/>
      <c r="AA15" s="139"/>
    </row>
    <row r="16" spans="1:27" s="2" customFormat="1" ht="15" customHeight="1" x14ac:dyDescent="0.2">
      <c r="E16" s="378" t="s">
        <v>3</v>
      </c>
      <c r="F16" s="378"/>
      <c r="G16" s="378"/>
      <c r="H16" s="378"/>
      <c r="I16" s="378"/>
      <c r="J16" s="378"/>
      <c r="K16" s="378"/>
      <c r="L16" s="378"/>
      <c r="M16" s="378"/>
      <c r="N16" s="378"/>
      <c r="O16" s="378"/>
      <c r="P16" s="378"/>
      <c r="Q16" s="378"/>
      <c r="R16" s="378"/>
      <c r="S16" s="378"/>
      <c r="T16" s="378"/>
      <c r="U16" s="378"/>
      <c r="V16" s="378"/>
      <c r="W16" s="378"/>
      <c r="X16" s="378"/>
      <c r="Y16" s="37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363</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48" customFormat="1" ht="21" customHeight="1" x14ac:dyDescent="0.25"/>
    <row r="21" spans="1:27" ht="15.75" customHeight="1" x14ac:dyDescent="0.25">
      <c r="A21" s="413" t="s">
        <v>2</v>
      </c>
      <c r="B21" s="415" t="s">
        <v>370</v>
      </c>
      <c r="C21" s="416"/>
      <c r="D21" s="415" t="s">
        <v>372</v>
      </c>
      <c r="E21" s="416"/>
      <c r="F21" s="398" t="s">
        <v>87</v>
      </c>
      <c r="G21" s="400"/>
      <c r="H21" s="400"/>
      <c r="I21" s="399"/>
      <c r="J21" s="413" t="s">
        <v>373</v>
      </c>
      <c r="K21" s="415" t="s">
        <v>374</v>
      </c>
      <c r="L21" s="416"/>
      <c r="M21" s="415" t="s">
        <v>375</v>
      </c>
      <c r="N21" s="416"/>
      <c r="O21" s="415" t="s">
        <v>362</v>
      </c>
      <c r="P21" s="416"/>
      <c r="Q21" s="415" t="s">
        <v>119</v>
      </c>
      <c r="R21" s="416"/>
      <c r="S21" s="413" t="s">
        <v>118</v>
      </c>
      <c r="T21" s="413" t="s">
        <v>376</v>
      </c>
      <c r="U21" s="413" t="s">
        <v>371</v>
      </c>
      <c r="V21" s="415" t="s">
        <v>117</v>
      </c>
      <c r="W21" s="416"/>
      <c r="X21" s="398" t="s">
        <v>110</v>
      </c>
      <c r="Y21" s="400"/>
      <c r="Z21" s="398" t="s">
        <v>109</v>
      </c>
      <c r="AA21" s="400"/>
    </row>
    <row r="22" spans="1:27" ht="216" customHeight="1" x14ac:dyDescent="0.25">
      <c r="A22" s="419"/>
      <c r="B22" s="417"/>
      <c r="C22" s="418"/>
      <c r="D22" s="417"/>
      <c r="E22" s="418"/>
      <c r="F22" s="398" t="s">
        <v>116</v>
      </c>
      <c r="G22" s="399"/>
      <c r="H22" s="398" t="s">
        <v>115</v>
      </c>
      <c r="I22" s="399"/>
      <c r="J22" s="414"/>
      <c r="K22" s="417"/>
      <c r="L22" s="418"/>
      <c r="M22" s="417"/>
      <c r="N22" s="418"/>
      <c r="O22" s="417"/>
      <c r="P22" s="418"/>
      <c r="Q22" s="417"/>
      <c r="R22" s="418"/>
      <c r="S22" s="414"/>
      <c r="T22" s="414"/>
      <c r="U22" s="414"/>
      <c r="V22" s="417"/>
      <c r="W22" s="418"/>
      <c r="X22" s="66" t="s">
        <v>108</v>
      </c>
      <c r="Y22" s="66" t="s">
        <v>360</v>
      </c>
      <c r="Z22" s="66" t="s">
        <v>107</v>
      </c>
      <c r="AA22" s="66" t="s">
        <v>106</v>
      </c>
    </row>
    <row r="23" spans="1:27" ht="60" customHeight="1" x14ac:dyDescent="0.25">
      <c r="A23" s="414"/>
      <c r="B23" s="96" t="s">
        <v>104</v>
      </c>
      <c r="C23" s="96"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86" customFormat="1" ht="160.5" customHeight="1" x14ac:dyDescent="0.25">
      <c r="A25" s="287">
        <v>1</v>
      </c>
      <c r="B25" s="287" t="s">
        <v>519</v>
      </c>
      <c r="C25" s="287" t="s">
        <v>541</v>
      </c>
      <c r="D25" s="331" t="s">
        <v>546</v>
      </c>
      <c r="E25" s="330" t="s">
        <v>546</v>
      </c>
      <c r="F25" s="287">
        <v>15</v>
      </c>
      <c r="G25" s="287">
        <v>15</v>
      </c>
      <c r="H25" s="287">
        <v>15</v>
      </c>
      <c r="I25" s="287">
        <v>15</v>
      </c>
      <c r="J25" s="287">
        <v>2022</v>
      </c>
      <c r="K25" s="287">
        <v>1</v>
      </c>
      <c r="L25" s="287">
        <v>1</v>
      </c>
      <c r="M25" s="287">
        <v>50</v>
      </c>
      <c r="N25" s="287">
        <v>240</v>
      </c>
      <c r="O25" s="287" t="s">
        <v>506</v>
      </c>
      <c r="P25" s="287" t="s">
        <v>542</v>
      </c>
      <c r="Q25" s="287">
        <v>0.52</v>
      </c>
      <c r="R25" s="285">
        <v>0.52</v>
      </c>
      <c r="S25" s="287" t="s">
        <v>274</v>
      </c>
      <c r="T25" s="287">
        <v>2017</v>
      </c>
      <c r="U25" s="287">
        <v>6</v>
      </c>
      <c r="V25" s="287" t="s">
        <v>518</v>
      </c>
      <c r="W25" s="287"/>
      <c r="X25" s="287"/>
      <c r="Y25" s="287" t="s">
        <v>274</v>
      </c>
      <c r="Z25" s="287" t="s">
        <v>537</v>
      </c>
      <c r="AA25" s="311" t="s">
        <v>538</v>
      </c>
    </row>
    <row r="26" spans="1:27" s="46" customFormat="1" ht="12.75" x14ac:dyDescent="0.2">
      <c r="A26" s="47"/>
      <c r="B26" s="47"/>
      <c r="C26" s="47"/>
      <c r="E26" s="47"/>
      <c r="X26" s="68"/>
      <c r="Y26" s="68"/>
      <c r="Z26" s="68"/>
      <c r="AA26" s="68"/>
    </row>
    <row r="27" spans="1:27" s="46" customFormat="1" ht="12.75" x14ac:dyDescent="0.2">
      <c r="A27" s="47"/>
      <c r="B27" s="47"/>
      <c r="C27"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81" t="str">
        <f>'3.2 паспорт Техсостояние ЛЭП'!A5</f>
        <v>Год раскрытия информации: 2023 год</v>
      </c>
      <c r="B5" s="381"/>
      <c r="C5" s="381"/>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0" customFormat="1" ht="18.75" x14ac:dyDescent="0.3">
      <c r="A6" s="133"/>
      <c r="B6" s="16"/>
      <c r="C6" s="16"/>
      <c r="E6" s="14"/>
      <c r="F6" s="14"/>
      <c r="G6" s="13"/>
    </row>
    <row r="7" spans="1:29" s="10" customFormat="1" ht="18.75" x14ac:dyDescent="0.2">
      <c r="A7" s="390" t="s">
        <v>6</v>
      </c>
      <c r="B7" s="390"/>
      <c r="C7" s="390"/>
      <c r="D7" s="11"/>
      <c r="E7" s="11"/>
      <c r="F7" s="11"/>
      <c r="G7" s="11"/>
      <c r="H7" s="11"/>
      <c r="I7" s="11"/>
      <c r="J7" s="11"/>
      <c r="K7" s="11"/>
      <c r="L7" s="11"/>
      <c r="M7" s="11"/>
      <c r="N7" s="11"/>
      <c r="O7" s="11"/>
      <c r="P7" s="11"/>
      <c r="Q7" s="11"/>
      <c r="R7" s="11"/>
      <c r="S7" s="11"/>
      <c r="T7" s="11"/>
      <c r="U7" s="11"/>
    </row>
    <row r="8" spans="1:29" s="10" customFormat="1" ht="18.75" x14ac:dyDescent="0.2">
      <c r="A8" s="390"/>
      <c r="B8" s="390"/>
      <c r="C8" s="390"/>
      <c r="D8" s="12"/>
      <c r="E8" s="12"/>
      <c r="F8" s="12"/>
      <c r="G8" s="12"/>
      <c r="H8" s="11"/>
      <c r="I8" s="11"/>
      <c r="J8" s="11"/>
      <c r="K8" s="11"/>
      <c r="L8" s="11"/>
      <c r="M8" s="11"/>
      <c r="N8" s="11"/>
      <c r="O8" s="11"/>
      <c r="P8" s="11"/>
      <c r="Q8" s="11"/>
      <c r="R8" s="11"/>
      <c r="S8" s="11"/>
      <c r="T8" s="11"/>
      <c r="U8" s="11"/>
    </row>
    <row r="9" spans="1:29" s="10" customFormat="1" ht="18.75" x14ac:dyDescent="0.2">
      <c r="A9" s="391" t="str">
        <f>'3.2 паспорт Техсостояние ЛЭП'!E9</f>
        <v>Акционерное общество "Россети Янтарь"</v>
      </c>
      <c r="B9" s="391"/>
      <c r="C9" s="391"/>
      <c r="D9" s="6"/>
      <c r="E9" s="6"/>
      <c r="F9" s="6"/>
      <c r="G9" s="6"/>
      <c r="H9" s="11"/>
      <c r="I9" s="11"/>
      <c r="J9" s="11"/>
      <c r="K9" s="11"/>
      <c r="L9" s="11"/>
      <c r="M9" s="11"/>
      <c r="N9" s="11"/>
      <c r="O9" s="11"/>
      <c r="P9" s="11"/>
      <c r="Q9" s="11"/>
      <c r="R9" s="11"/>
      <c r="S9" s="11"/>
      <c r="T9" s="11"/>
      <c r="U9" s="11"/>
    </row>
    <row r="10" spans="1:29" s="10" customFormat="1" ht="18.75" x14ac:dyDescent="0.2">
      <c r="A10" s="387" t="s">
        <v>5</v>
      </c>
      <c r="B10" s="387"/>
      <c r="C10" s="387"/>
      <c r="D10" s="4"/>
      <c r="E10" s="4"/>
      <c r="F10" s="4"/>
      <c r="G10" s="4"/>
      <c r="H10" s="11"/>
      <c r="I10" s="11"/>
      <c r="J10" s="11"/>
      <c r="K10" s="11"/>
      <c r="L10" s="11"/>
      <c r="M10" s="11"/>
      <c r="N10" s="11"/>
      <c r="O10" s="11"/>
      <c r="P10" s="11"/>
      <c r="Q10" s="11"/>
      <c r="R10" s="11"/>
      <c r="S10" s="11"/>
      <c r="T10" s="11"/>
      <c r="U10" s="11"/>
    </row>
    <row r="11" spans="1:29" s="10" customFormat="1" ht="18.75" x14ac:dyDescent="0.2">
      <c r="A11" s="390"/>
      <c r="B11" s="390"/>
      <c r="C11" s="390"/>
      <c r="D11" s="12"/>
      <c r="E11" s="12"/>
      <c r="F11" s="12"/>
      <c r="G11" s="12"/>
      <c r="H11" s="11"/>
      <c r="I11" s="11"/>
      <c r="J11" s="11"/>
      <c r="K11" s="11"/>
      <c r="L11" s="11"/>
      <c r="M11" s="11"/>
      <c r="N11" s="11"/>
      <c r="O11" s="11"/>
      <c r="P11" s="11"/>
      <c r="Q11" s="11"/>
      <c r="R11" s="11"/>
      <c r="S11" s="11"/>
      <c r="T11" s="11"/>
      <c r="U11" s="11"/>
    </row>
    <row r="12" spans="1:29" s="10" customFormat="1" ht="18.75" x14ac:dyDescent="0.2">
      <c r="A12" s="391" t="str">
        <f>'3.2 паспорт Техсостояние ЛЭП'!E12</f>
        <v>L_19-0964</v>
      </c>
      <c r="B12" s="391"/>
      <c r="C12" s="391"/>
      <c r="D12" s="6"/>
      <c r="E12" s="6"/>
      <c r="F12" s="6"/>
      <c r="G12" s="6"/>
      <c r="H12" s="11"/>
      <c r="I12" s="11"/>
      <c r="J12" s="11"/>
      <c r="K12" s="11"/>
      <c r="L12" s="11"/>
      <c r="M12" s="11"/>
      <c r="N12" s="11"/>
      <c r="O12" s="11"/>
      <c r="P12" s="11"/>
      <c r="Q12" s="11"/>
      <c r="R12" s="11"/>
      <c r="S12" s="11"/>
      <c r="T12" s="11"/>
      <c r="U12" s="11"/>
    </row>
    <row r="13" spans="1:29" s="10" customFormat="1" ht="18.75" x14ac:dyDescent="0.2">
      <c r="A13" s="387" t="s">
        <v>4</v>
      </c>
      <c r="B13" s="387"/>
      <c r="C13" s="387"/>
      <c r="D13" s="4"/>
      <c r="E13" s="4"/>
      <c r="F13" s="4"/>
      <c r="G13" s="4"/>
      <c r="H13" s="11"/>
      <c r="I13" s="11"/>
      <c r="J13" s="11"/>
      <c r="K13" s="11"/>
      <c r="L13" s="11"/>
      <c r="M13" s="11"/>
      <c r="N13" s="11"/>
      <c r="O13" s="11"/>
      <c r="P13" s="11"/>
      <c r="Q13" s="11"/>
      <c r="R13" s="11"/>
      <c r="S13" s="11"/>
      <c r="T13" s="11"/>
      <c r="U13" s="11"/>
    </row>
    <row r="14" spans="1:29" s="7" customFormat="1" ht="8.25" customHeight="1" x14ac:dyDescent="0.2">
      <c r="A14" s="392"/>
      <c r="B14" s="392"/>
      <c r="C14" s="392"/>
      <c r="D14" s="8"/>
      <c r="E14" s="8"/>
      <c r="F14" s="8"/>
      <c r="G14" s="8"/>
      <c r="H14" s="8"/>
      <c r="I14" s="8"/>
      <c r="J14" s="8"/>
      <c r="K14" s="8"/>
      <c r="L14" s="8"/>
      <c r="M14" s="8"/>
      <c r="N14" s="8"/>
      <c r="O14" s="8"/>
      <c r="P14" s="8"/>
      <c r="Q14" s="8"/>
      <c r="R14" s="8"/>
      <c r="S14" s="8"/>
      <c r="T14" s="8"/>
      <c r="U14" s="8"/>
    </row>
    <row r="15" spans="1:29" s="2" customFormat="1" ht="65.25" customHeight="1" x14ac:dyDescent="0.2">
      <c r="A15" s="386" t="str">
        <f>'3.2 паспорт Техсостояние ЛЭП'!E15</f>
        <v>Строительство КЛ 15 кВ взамен существующей ВЛ 15 кВ № 15-82 (инв. № 5114524) протяженностью 0,52 км в Полесском районе</v>
      </c>
      <c r="B15" s="386"/>
      <c r="C15" s="386"/>
      <c r="D15" s="6"/>
      <c r="E15" s="6"/>
      <c r="F15" s="6"/>
      <c r="G15" s="6"/>
      <c r="H15" s="6"/>
      <c r="I15" s="6"/>
      <c r="J15" s="6"/>
      <c r="K15" s="6"/>
      <c r="L15" s="6"/>
      <c r="M15" s="6"/>
      <c r="N15" s="6"/>
      <c r="O15" s="6"/>
      <c r="P15" s="6"/>
      <c r="Q15" s="6"/>
      <c r="R15" s="6"/>
      <c r="S15" s="6"/>
      <c r="T15" s="6"/>
      <c r="U15" s="6"/>
    </row>
    <row r="16" spans="1:29" s="2" customFormat="1" ht="15" customHeight="1" x14ac:dyDescent="0.2">
      <c r="A16" s="378" t="s">
        <v>3</v>
      </c>
      <c r="B16" s="378"/>
      <c r="C16" s="378"/>
      <c r="D16" s="4"/>
      <c r="E16" s="4"/>
      <c r="F16" s="4"/>
      <c r="G16" s="4"/>
      <c r="H16" s="4"/>
      <c r="I16" s="4"/>
      <c r="J16" s="4"/>
      <c r="K16" s="4"/>
      <c r="L16" s="4"/>
      <c r="M16" s="4"/>
      <c r="N16" s="4"/>
      <c r="O16" s="4"/>
      <c r="P16" s="4"/>
      <c r="Q16" s="4"/>
      <c r="R16" s="4"/>
      <c r="S16" s="4"/>
      <c r="T16" s="4"/>
      <c r="U16" s="4"/>
    </row>
    <row r="17" spans="1:21" s="2" customFormat="1" ht="15" customHeight="1" x14ac:dyDescent="0.2">
      <c r="A17" s="401"/>
      <c r="B17" s="401"/>
      <c r="C17" s="401"/>
      <c r="D17" s="3"/>
      <c r="E17" s="3"/>
      <c r="F17" s="3"/>
      <c r="G17" s="3"/>
      <c r="H17" s="3"/>
      <c r="I17" s="3"/>
      <c r="J17" s="3"/>
      <c r="K17" s="3"/>
      <c r="L17" s="3"/>
      <c r="M17" s="3"/>
      <c r="N17" s="3"/>
      <c r="O17" s="3"/>
      <c r="P17" s="3"/>
      <c r="Q17" s="3"/>
      <c r="R17" s="3"/>
    </row>
    <row r="18" spans="1:21" s="2" customFormat="1" ht="27.75" customHeight="1" x14ac:dyDescent="0.2">
      <c r="A18" s="379" t="s">
        <v>355</v>
      </c>
      <c r="B18" s="379"/>
      <c r="C18" s="37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31.5" x14ac:dyDescent="0.2">
      <c r="A22" s="22" t="s">
        <v>61</v>
      </c>
      <c r="B22" s="28" t="s">
        <v>368</v>
      </c>
      <c r="C22" s="329" t="s">
        <v>517</v>
      </c>
      <c r="D22" s="27"/>
      <c r="E22" s="27"/>
      <c r="F22" s="26"/>
      <c r="G22" s="26"/>
      <c r="H22" s="26"/>
      <c r="I22" s="26"/>
      <c r="J22" s="26"/>
      <c r="K22" s="26"/>
      <c r="L22" s="26"/>
      <c r="M22" s="26"/>
      <c r="N22" s="26"/>
      <c r="O22" s="26"/>
      <c r="P22" s="26"/>
      <c r="Q22" s="25"/>
      <c r="R22" s="25"/>
      <c r="S22" s="25"/>
      <c r="T22" s="25"/>
      <c r="U22" s="25"/>
    </row>
    <row r="23" spans="1:21" ht="47.25" x14ac:dyDescent="0.25">
      <c r="A23" s="22" t="s">
        <v>60</v>
      </c>
      <c r="B23" s="24" t="s">
        <v>57</v>
      </c>
      <c r="C23" s="323" t="s">
        <v>539</v>
      </c>
      <c r="D23" s="21"/>
      <c r="E23" s="284"/>
      <c r="F23" s="21"/>
      <c r="G23" s="21"/>
      <c r="H23" s="21"/>
      <c r="I23" s="21"/>
      <c r="J23" s="21"/>
      <c r="K23" s="21"/>
      <c r="L23" s="21"/>
      <c r="M23" s="21"/>
      <c r="N23" s="21"/>
      <c r="O23" s="21"/>
      <c r="P23" s="21"/>
      <c r="Q23" s="21"/>
      <c r="R23" s="21"/>
      <c r="S23" s="21"/>
      <c r="T23" s="21"/>
      <c r="U23" s="21"/>
    </row>
    <row r="24" spans="1:21" ht="63" x14ac:dyDescent="0.25">
      <c r="A24" s="22" t="s">
        <v>59</v>
      </c>
      <c r="B24" s="24" t="s">
        <v>407</v>
      </c>
      <c r="C24" s="267" t="s">
        <v>559</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28" t="s">
        <v>540</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267" t="s">
        <v>410</v>
      </c>
      <c r="D26" s="21"/>
      <c r="E26" s="21"/>
      <c r="F26" s="21"/>
      <c r="G26" s="21"/>
      <c r="H26" s="21"/>
      <c r="I26" s="21"/>
      <c r="J26" s="21"/>
      <c r="K26" s="21"/>
      <c r="L26" s="21"/>
      <c r="M26" s="21"/>
      <c r="N26" s="21"/>
      <c r="O26" s="21"/>
      <c r="P26" s="21"/>
      <c r="Q26" s="21"/>
      <c r="R26" s="21"/>
      <c r="S26" s="21"/>
      <c r="T26" s="21"/>
      <c r="U26" s="21"/>
    </row>
    <row r="27" spans="1:21" ht="110.25" x14ac:dyDescent="0.25">
      <c r="A27" s="22" t="s">
        <v>55</v>
      </c>
      <c r="B27" s="24" t="s">
        <v>369</v>
      </c>
      <c r="C27" s="267" t="s">
        <v>560</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267">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267">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267" t="s">
        <v>414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L24"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381" t="str">
        <f>'3.3 паспорт описание'!A5</f>
        <v>Год раскрытия информации: 2023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5" spans="1:28" x14ac:dyDescent="0.2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8" ht="18.75" x14ac:dyDescent="0.25">
      <c r="A6" s="390" t="s">
        <v>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93"/>
      <c r="AB6" s="93"/>
    </row>
    <row r="7" spans="1:28" ht="18.75" x14ac:dyDescent="0.2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93"/>
      <c r="AB7" s="93"/>
    </row>
    <row r="8" spans="1:28" ht="15.75" x14ac:dyDescent="0.25">
      <c r="A8" s="391" t="str">
        <f>'3.3 паспорт описание'!A9:C9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94"/>
      <c r="AB8" s="94"/>
    </row>
    <row r="9" spans="1:28" ht="15.75" x14ac:dyDescent="0.25">
      <c r="A9" s="387" t="s">
        <v>5</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95"/>
      <c r="AB9" s="95"/>
    </row>
    <row r="10" spans="1:28" ht="18.75" x14ac:dyDescent="0.25">
      <c r="A10" s="390"/>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93"/>
      <c r="AB10" s="93"/>
    </row>
    <row r="11" spans="1:28" ht="15.75" x14ac:dyDescent="0.25">
      <c r="A11" s="391" t="str">
        <f>'3.3 паспорт описание'!A12:C12</f>
        <v>L_19-0964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94"/>
      <c r="AB11" s="94"/>
    </row>
    <row r="12" spans="1:28" ht="15.75" x14ac:dyDescent="0.25">
      <c r="A12" s="387" t="s">
        <v>4</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95"/>
      <c r="AB12" s="95"/>
    </row>
    <row r="13" spans="1:28" ht="18.75" x14ac:dyDescent="0.25">
      <c r="A13" s="392"/>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9"/>
      <c r="AB13" s="9"/>
    </row>
    <row r="14" spans="1:28" ht="24.75" customHeight="1" x14ac:dyDescent="0.25">
      <c r="A14" s="386" t="str">
        <f>'3.3 паспорт описание'!A15:C15</f>
        <v>Строительство КЛ 15 кВ взамен существующей ВЛ 15 кВ № 15-82 (инв. № 5114524) протяженностью 0,52 км в Полесском районе</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94"/>
      <c r="AB14" s="94"/>
    </row>
    <row r="15" spans="1:28" ht="15.75" x14ac:dyDescent="0.25">
      <c r="A15" s="378" t="s">
        <v>3</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95"/>
      <c r="AB15" s="95"/>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03"/>
      <c r="AB16" s="103"/>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03"/>
      <c r="AB17" s="103"/>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03"/>
      <c r="AB18" s="103"/>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03"/>
      <c r="AB19" s="103"/>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04"/>
      <c r="AB20" s="104"/>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04"/>
      <c r="AB21" s="104"/>
    </row>
    <row r="22" spans="1:28" x14ac:dyDescent="0.25">
      <c r="A22" s="422" t="s">
        <v>387</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05"/>
      <c r="AB22" s="105"/>
    </row>
    <row r="23" spans="1:28" ht="32.25" customHeight="1" x14ac:dyDescent="0.25">
      <c r="A23" s="424" t="s">
        <v>272</v>
      </c>
      <c r="B23" s="425"/>
      <c r="C23" s="425"/>
      <c r="D23" s="425"/>
      <c r="E23" s="425"/>
      <c r="F23" s="425"/>
      <c r="G23" s="425"/>
      <c r="H23" s="425"/>
      <c r="I23" s="425"/>
      <c r="J23" s="425"/>
      <c r="K23" s="425"/>
      <c r="L23" s="426"/>
      <c r="M23" s="423" t="s">
        <v>273</v>
      </c>
      <c r="N23" s="423"/>
      <c r="O23" s="423"/>
      <c r="P23" s="423"/>
      <c r="Q23" s="423"/>
      <c r="R23" s="423"/>
      <c r="S23" s="423"/>
      <c r="T23" s="423"/>
      <c r="U23" s="423"/>
      <c r="V23" s="423"/>
      <c r="W23" s="423"/>
      <c r="X23" s="423"/>
      <c r="Y23" s="423"/>
      <c r="Z23" s="423"/>
    </row>
    <row r="24" spans="1:28" ht="151.5" customHeight="1" x14ac:dyDescent="0.25">
      <c r="A24" s="63" t="s">
        <v>204</v>
      </c>
      <c r="B24" s="64" t="s">
        <v>211</v>
      </c>
      <c r="C24" s="63" t="s">
        <v>267</v>
      </c>
      <c r="D24" s="63" t="s">
        <v>205</v>
      </c>
      <c r="E24" s="63" t="s">
        <v>268</v>
      </c>
      <c r="F24" s="63" t="s">
        <v>270</v>
      </c>
      <c r="G24" s="63" t="s">
        <v>269</v>
      </c>
      <c r="H24" s="63" t="s">
        <v>206</v>
      </c>
      <c r="I24" s="63" t="s">
        <v>271</v>
      </c>
      <c r="J24" s="63" t="s">
        <v>212</v>
      </c>
      <c r="K24" s="64" t="s">
        <v>210</v>
      </c>
      <c r="L24" s="64" t="s">
        <v>207</v>
      </c>
      <c r="M24" s="65" t="s">
        <v>219</v>
      </c>
      <c r="N24" s="64" t="s">
        <v>396</v>
      </c>
      <c r="O24" s="63" t="s">
        <v>217</v>
      </c>
      <c r="P24" s="63" t="s">
        <v>218</v>
      </c>
      <c r="Q24" s="63" t="s">
        <v>216</v>
      </c>
      <c r="R24" s="63" t="s">
        <v>206</v>
      </c>
      <c r="S24" s="63" t="s">
        <v>215</v>
      </c>
      <c r="T24" s="63" t="s">
        <v>214</v>
      </c>
      <c r="U24" s="63" t="s">
        <v>266</v>
      </c>
      <c r="V24" s="63" t="s">
        <v>216</v>
      </c>
      <c r="W24" s="70" t="s">
        <v>209</v>
      </c>
      <c r="X24" s="70" t="s">
        <v>221</v>
      </c>
      <c r="Y24" s="70" t="s">
        <v>222</v>
      </c>
      <c r="Z24" s="71" t="s">
        <v>220</v>
      </c>
    </row>
    <row r="25" spans="1:28" ht="16.5" customHeight="1" x14ac:dyDescent="0.25">
      <c r="A25" s="63">
        <v>1</v>
      </c>
      <c r="B25" s="64">
        <v>2</v>
      </c>
      <c r="C25" s="63">
        <v>3</v>
      </c>
      <c r="D25" s="64">
        <v>4</v>
      </c>
      <c r="E25" s="63">
        <v>5</v>
      </c>
      <c r="F25" s="64">
        <v>6</v>
      </c>
      <c r="G25" s="63">
        <v>7</v>
      </c>
      <c r="H25" s="64">
        <v>8</v>
      </c>
      <c r="I25" s="63">
        <v>9</v>
      </c>
      <c r="J25" s="64">
        <v>10</v>
      </c>
      <c r="K25" s="106">
        <v>11</v>
      </c>
      <c r="L25" s="64">
        <v>12</v>
      </c>
      <c r="M25" s="106">
        <v>13</v>
      </c>
      <c r="N25" s="64">
        <v>14</v>
      </c>
      <c r="O25" s="106">
        <v>15</v>
      </c>
      <c r="P25" s="64">
        <v>16</v>
      </c>
      <c r="Q25" s="106">
        <v>17</v>
      </c>
      <c r="R25" s="64">
        <v>18</v>
      </c>
      <c r="S25" s="106">
        <v>19</v>
      </c>
      <c r="T25" s="64">
        <v>20</v>
      </c>
      <c r="U25" s="106">
        <v>21</v>
      </c>
      <c r="V25" s="64">
        <v>22</v>
      </c>
      <c r="W25" s="106">
        <v>23</v>
      </c>
      <c r="X25" s="64">
        <v>24</v>
      </c>
      <c r="Y25" s="106">
        <v>25</v>
      </c>
      <c r="Z25" s="64">
        <v>26</v>
      </c>
    </row>
    <row r="26" spans="1:28" ht="135" x14ac:dyDescent="0.25">
      <c r="A26" s="292">
        <v>2018</v>
      </c>
      <c r="B26" s="293"/>
      <c r="C26" s="293">
        <f>SUM(C27:C33)</f>
        <v>14.350100000000001</v>
      </c>
      <c r="D26" s="294">
        <f>SUM(D27:D33)</f>
        <v>2906</v>
      </c>
      <c r="E26" s="293">
        <f>SUM(E32:E55)</f>
        <v>0</v>
      </c>
      <c r="F26" s="293">
        <f>SUM(F27:F33)</f>
        <v>5179.1311999999989</v>
      </c>
      <c r="G26" s="293">
        <f>SUM(G32:G55)</f>
        <v>0</v>
      </c>
      <c r="H26" s="294">
        <v>116189</v>
      </c>
      <c r="I26" s="295">
        <f>F26/H26</f>
        <v>4.4575056158500367E-2</v>
      </c>
      <c r="J26" s="296">
        <f>D26/H26</f>
        <v>2.5010973500073155E-2</v>
      </c>
      <c r="K26" s="289" t="s">
        <v>514</v>
      </c>
      <c r="L26" s="291"/>
      <c r="M26" s="297">
        <v>2021</v>
      </c>
      <c r="N26" s="289"/>
      <c r="O26" s="290">
        <f>F26-(F26/100)</f>
        <v>5127.3398879999986</v>
      </c>
      <c r="P26" s="298">
        <f>C26-(C26/100)</f>
        <v>14.206599000000001</v>
      </c>
      <c r="Q26" s="299">
        <f>P26/R26</f>
        <v>1.222714628751431E-4</v>
      </c>
      <c r="R26" s="290">
        <v>116189</v>
      </c>
      <c r="S26" s="300">
        <f>O26/R26</f>
        <v>4.4129305596915358E-2</v>
      </c>
      <c r="T26" s="301">
        <f>((D26)-(D26/100))/R26</f>
        <v>2.4760863765072427E-2</v>
      </c>
      <c r="U26" s="290"/>
      <c r="V26" s="302">
        <f>P26/R26</f>
        <v>1.222714628751431E-4</v>
      </c>
      <c r="W26" s="302">
        <f>S26-I26</f>
        <v>-4.4575056158500936E-4</v>
      </c>
      <c r="X26" s="302">
        <f>T26-J26</f>
        <v>-2.5010973500072878E-4</v>
      </c>
      <c r="Y26" s="288" t="s">
        <v>515</v>
      </c>
      <c r="Z26" s="288" t="s">
        <v>516</v>
      </c>
    </row>
    <row r="27" spans="1:28" x14ac:dyDescent="0.25">
      <c r="A27" s="292"/>
      <c r="B27" s="303" t="s">
        <v>519</v>
      </c>
      <c r="C27" s="304">
        <v>3.1833</v>
      </c>
      <c r="D27" s="309">
        <v>653</v>
      </c>
      <c r="E27" s="290"/>
      <c r="F27" s="304">
        <f>C27*D27</f>
        <v>2078.6949</v>
      </c>
      <c r="G27" s="293"/>
      <c r="H27" s="305">
        <v>116189</v>
      </c>
      <c r="I27" s="290"/>
      <c r="J27" s="299"/>
      <c r="K27" s="307" t="s">
        <v>528</v>
      </c>
      <c r="L27" s="307"/>
      <c r="M27" s="297"/>
      <c r="N27" s="289"/>
      <c r="O27" s="290"/>
      <c r="P27" s="298"/>
      <c r="Q27" s="299"/>
      <c r="R27" s="290"/>
      <c r="S27" s="290"/>
      <c r="T27" s="301"/>
      <c r="U27" s="290"/>
      <c r="V27" s="302"/>
      <c r="W27" s="302"/>
      <c r="X27" s="302"/>
      <c r="Y27" s="288"/>
      <c r="Z27" s="288"/>
    </row>
    <row r="28" spans="1:28" x14ac:dyDescent="0.25">
      <c r="A28" s="292"/>
      <c r="B28" s="303" t="s">
        <v>519</v>
      </c>
      <c r="C28" s="304">
        <v>1.4666999999999999</v>
      </c>
      <c r="D28" s="309">
        <v>653</v>
      </c>
      <c r="E28" s="290"/>
      <c r="F28" s="304">
        <f t="shared" ref="F28:F32" si="0">C28*D28</f>
        <v>957.75509999999997</v>
      </c>
      <c r="G28" s="293"/>
      <c r="H28" s="305">
        <v>116189</v>
      </c>
      <c r="I28" s="290"/>
      <c r="J28" s="299"/>
      <c r="K28" s="307" t="s">
        <v>529</v>
      </c>
      <c r="L28" s="307"/>
      <c r="M28" s="297"/>
      <c r="N28" s="289"/>
      <c r="O28" s="290"/>
      <c r="P28" s="298"/>
      <c r="Q28" s="299"/>
      <c r="R28" s="290"/>
      <c r="S28" s="290"/>
      <c r="T28" s="301"/>
      <c r="U28" s="290"/>
      <c r="V28" s="302"/>
      <c r="W28" s="302"/>
      <c r="X28" s="302"/>
      <c r="Y28" s="288"/>
      <c r="Z28" s="288"/>
    </row>
    <row r="29" spans="1:28" x14ac:dyDescent="0.25">
      <c r="A29" s="292"/>
      <c r="B29" s="303" t="s">
        <v>519</v>
      </c>
      <c r="C29" s="304">
        <v>0.26669999999999999</v>
      </c>
      <c r="D29" s="309">
        <v>253</v>
      </c>
      <c r="E29" s="290"/>
      <c r="F29" s="304">
        <f t="shared" si="0"/>
        <v>67.475099999999998</v>
      </c>
      <c r="G29" s="293"/>
      <c r="H29" s="305">
        <v>116189</v>
      </c>
      <c r="I29" s="290"/>
      <c r="J29" s="299"/>
      <c r="K29" s="307" t="s">
        <v>530</v>
      </c>
      <c r="L29" s="307"/>
      <c r="M29" s="297"/>
      <c r="N29" s="289"/>
      <c r="O29" s="290"/>
      <c r="P29" s="298"/>
      <c r="Q29" s="299"/>
      <c r="R29" s="290"/>
      <c r="S29" s="290"/>
      <c r="T29" s="301"/>
      <c r="U29" s="290"/>
      <c r="V29" s="302"/>
      <c r="W29" s="302"/>
      <c r="X29" s="302"/>
      <c r="Y29" s="288"/>
      <c r="Z29" s="288"/>
    </row>
    <row r="30" spans="1:28" x14ac:dyDescent="0.25">
      <c r="A30" s="292"/>
      <c r="B30" s="303" t="s">
        <v>519</v>
      </c>
      <c r="C30" s="304">
        <v>0.4667</v>
      </c>
      <c r="D30" s="309">
        <v>653</v>
      </c>
      <c r="E30" s="290"/>
      <c r="F30" s="304">
        <f t="shared" si="0"/>
        <v>304.75510000000003</v>
      </c>
      <c r="G30" s="293"/>
      <c r="H30" s="305">
        <v>116189</v>
      </c>
      <c r="I30" s="290"/>
      <c r="J30" s="299"/>
      <c r="K30" s="307" t="s">
        <v>531</v>
      </c>
      <c r="L30" s="307"/>
      <c r="M30" s="297"/>
      <c r="N30" s="289"/>
      <c r="O30" s="290"/>
      <c r="P30" s="298"/>
      <c r="Q30" s="299"/>
      <c r="R30" s="290"/>
      <c r="S30" s="290"/>
      <c r="T30" s="301"/>
      <c r="U30" s="290"/>
      <c r="V30" s="302"/>
      <c r="W30" s="302"/>
      <c r="X30" s="302"/>
      <c r="Y30" s="288"/>
      <c r="Z30" s="288"/>
    </row>
    <row r="31" spans="1:28" x14ac:dyDescent="0.25">
      <c r="A31" s="292"/>
      <c r="B31" s="292" t="s">
        <v>519</v>
      </c>
      <c r="C31" s="304">
        <v>4.0332999999999997</v>
      </c>
      <c r="D31" s="309">
        <v>329</v>
      </c>
      <c r="E31" s="290"/>
      <c r="F31" s="304">
        <f t="shared" si="0"/>
        <v>1326.9557</v>
      </c>
      <c r="G31" s="293"/>
      <c r="H31" s="305">
        <v>116189</v>
      </c>
      <c r="I31" s="290"/>
      <c r="J31" s="299"/>
      <c r="K31" s="307" t="s">
        <v>532</v>
      </c>
      <c r="L31" s="308" t="s">
        <v>534</v>
      </c>
      <c r="M31" s="297"/>
      <c r="N31" s="289"/>
      <c r="O31" s="290"/>
      <c r="P31" s="298"/>
      <c r="Q31" s="299"/>
      <c r="R31" s="290"/>
      <c r="S31" s="290"/>
      <c r="T31" s="301"/>
      <c r="U31" s="290"/>
      <c r="V31" s="302"/>
      <c r="W31" s="302"/>
      <c r="X31" s="302"/>
      <c r="Y31" s="288"/>
      <c r="Z31" s="288"/>
    </row>
    <row r="32" spans="1:28" x14ac:dyDescent="0.25">
      <c r="A32" s="290"/>
      <c r="B32" s="292" t="s">
        <v>519</v>
      </c>
      <c r="C32" s="304">
        <v>1.05</v>
      </c>
      <c r="D32" s="309">
        <v>5</v>
      </c>
      <c r="E32" s="290"/>
      <c r="F32" s="304">
        <f t="shared" si="0"/>
        <v>5.25</v>
      </c>
      <c r="G32" s="290"/>
      <c r="H32" s="290">
        <v>116189</v>
      </c>
      <c r="I32" s="290"/>
      <c r="J32" s="290"/>
      <c r="K32" s="307" t="s">
        <v>533</v>
      </c>
      <c r="L32" s="308" t="s">
        <v>535</v>
      </c>
      <c r="M32" s="291"/>
      <c r="N32" s="290"/>
      <c r="O32" s="290"/>
      <c r="P32" s="290"/>
      <c r="Q32" s="290"/>
      <c r="R32" s="290"/>
      <c r="S32" s="290"/>
      <c r="T32" s="290"/>
      <c r="U32" s="290"/>
      <c r="V32" s="290"/>
      <c r="W32" s="290"/>
      <c r="X32" s="290"/>
      <c r="Y32" s="290"/>
      <c r="Z32" s="290"/>
    </row>
    <row r="33" spans="1:26" x14ac:dyDescent="0.25">
      <c r="A33" s="306">
        <v>2017</v>
      </c>
      <c r="B33" s="306"/>
      <c r="C33" s="304">
        <f>SUM(C34:C35)</f>
        <v>3.8834</v>
      </c>
      <c r="D33" s="309">
        <f>SUM(D34:D35)</f>
        <v>360</v>
      </c>
      <c r="E33" s="304"/>
      <c r="F33" s="304">
        <f>SUM(F34:F35)</f>
        <v>438.24529999999993</v>
      </c>
      <c r="G33" s="290"/>
      <c r="H33" s="290">
        <v>114940</v>
      </c>
      <c r="I33" s="290"/>
      <c r="J33" s="290"/>
      <c r="K33" s="290"/>
      <c r="L33" s="290"/>
      <c r="M33" s="290"/>
      <c r="N33" s="290"/>
      <c r="O33" s="290"/>
      <c r="P33" s="290"/>
      <c r="Q33" s="290"/>
      <c r="R33" s="290"/>
      <c r="S33" s="290"/>
      <c r="T33" s="290"/>
      <c r="U33" s="290"/>
      <c r="V33" s="290"/>
      <c r="W33" s="290"/>
      <c r="X33" s="290"/>
      <c r="Y33" s="290"/>
      <c r="Z33" s="291"/>
    </row>
    <row r="34" spans="1:26" x14ac:dyDescent="0.25">
      <c r="A34" s="306"/>
      <c r="B34" s="306" t="s">
        <v>519</v>
      </c>
      <c r="C34" s="304">
        <v>1.2166999999999999</v>
      </c>
      <c r="D34" s="309">
        <v>358</v>
      </c>
      <c r="E34" s="290"/>
      <c r="F34" s="304">
        <f t="shared" ref="F34" si="1">C34*D34</f>
        <v>435.57859999999994</v>
      </c>
      <c r="G34" s="290"/>
      <c r="H34" s="290">
        <v>114940</v>
      </c>
      <c r="I34" s="290"/>
      <c r="J34" s="290"/>
      <c r="K34" s="307" t="s">
        <v>526</v>
      </c>
      <c r="L34" s="308" t="s">
        <v>527</v>
      </c>
      <c r="M34" s="290"/>
      <c r="N34" s="290"/>
      <c r="O34" s="290"/>
      <c r="P34" s="290"/>
      <c r="Q34" s="290"/>
      <c r="R34" s="290"/>
      <c r="S34" s="290"/>
      <c r="T34" s="290"/>
      <c r="U34" s="290"/>
      <c r="V34" s="290"/>
      <c r="W34" s="290"/>
      <c r="X34" s="290"/>
      <c r="Y34" s="290"/>
      <c r="Z34" s="291"/>
    </row>
    <row r="35" spans="1:26" x14ac:dyDescent="0.25">
      <c r="A35" s="306">
        <v>2016</v>
      </c>
      <c r="B35" s="306"/>
      <c r="C35" s="304">
        <f>SUM(C36:C37)</f>
        <v>2.6667000000000001</v>
      </c>
      <c r="D35" s="309">
        <f>SUM(D36:D37)</f>
        <v>2</v>
      </c>
      <c r="E35" s="290"/>
      <c r="F35" s="304">
        <f>SUM(F36:F37)</f>
        <v>2.6667000000000001</v>
      </c>
      <c r="G35" s="290"/>
      <c r="H35" s="290">
        <v>99264</v>
      </c>
      <c r="I35" s="290"/>
      <c r="J35" s="290"/>
      <c r="K35" s="290"/>
      <c r="L35" s="290"/>
      <c r="M35" s="290"/>
      <c r="N35" s="290"/>
      <c r="O35" s="290"/>
      <c r="P35" s="290"/>
      <c r="Q35" s="290"/>
      <c r="R35" s="290"/>
      <c r="S35" s="290"/>
      <c r="T35" s="290"/>
      <c r="U35" s="290"/>
      <c r="V35" s="290"/>
      <c r="W35" s="290"/>
      <c r="X35" s="290"/>
      <c r="Y35" s="290"/>
      <c r="Z35" s="291"/>
    </row>
    <row r="36" spans="1:26" x14ac:dyDescent="0.25">
      <c r="A36" s="306"/>
      <c r="B36" s="292" t="s">
        <v>520</v>
      </c>
      <c r="C36" s="304">
        <v>0.66669999999999996</v>
      </c>
      <c r="D36" s="309">
        <v>1</v>
      </c>
      <c r="E36" s="290"/>
      <c r="F36" s="304">
        <f>C36*D36</f>
        <v>0.66669999999999996</v>
      </c>
      <c r="G36" s="290"/>
      <c r="H36" s="290">
        <v>99264</v>
      </c>
      <c r="I36" s="290"/>
      <c r="J36" s="290"/>
      <c r="K36" s="307" t="s">
        <v>522</v>
      </c>
      <c r="L36" s="308" t="s">
        <v>524</v>
      </c>
      <c r="M36" s="290"/>
      <c r="N36" s="290"/>
      <c r="O36" s="290"/>
      <c r="P36" s="290"/>
      <c r="Q36" s="290"/>
      <c r="R36" s="290"/>
      <c r="S36" s="290"/>
      <c r="T36" s="290"/>
      <c r="U36" s="290"/>
      <c r="V36" s="290"/>
      <c r="W36" s="290"/>
      <c r="X36" s="290"/>
      <c r="Y36" s="290"/>
      <c r="Z36" s="291"/>
    </row>
    <row r="37" spans="1:26" x14ac:dyDescent="0.25">
      <c r="A37" s="290"/>
      <c r="B37" s="292" t="s">
        <v>521</v>
      </c>
      <c r="C37" s="304">
        <v>2</v>
      </c>
      <c r="D37" s="309">
        <v>1</v>
      </c>
      <c r="E37" s="290"/>
      <c r="F37" s="304">
        <f>C37*D37</f>
        <v>2</v>
      </c>
      <c r="G37" s="290"/>
      <c r="H37" s="290">
        <v>99264</v>
      </c>
      <c r="I37" s="290"/>
      <c r="J37" s="290"/>
      <c r="K37" s="307" t="s">
        <v>523</v>
      </c>
      <c r="L37" s="308" t="s">
        <v>525</v>
      </c>
      <c r="M37" s="290"/>
      <c r="N37" s="290"/>
      <c r="O37" s="290"/>
      <c r="P37" s="290"/>
      <c r="Q37" s="290"/>
      <c r="R37" s="290"/>
      <c r="S37" s="290"/>
      <c r="T37" s="290"/>
      <c r="U37" s="290"/>
      <c r="V37" s="290"/>
      <c r="W37" s="290"/>
      <c r="X37" s="290"/>
      <c r="Y37" s="290"/>
      <c r="Z37" s="29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381" t="str">
        <f>'1. паспорт местоположение'!A5:C5</f>
        <v>Год раскрытия информации: 2023 год</v>
      </c>
      <c r="B5" s="381"/>
      <c r="C5" s="381"/>
      <c r="D5" s="381"/>
      <c r="E5" s="381"/>
      <c r="F5" s="381"/>
      <c r="G5" s="381"/>
      <c r="H5" s="381"/>
      <c r="I5" s="381"/>
      <c r="J5" s="381"/>
      <c r="K5" s="381"/>
      <c r="L5" s="381"/>
      <c r="M5" s="381"/>
      <c r="N5" s="102"/>
      <c r="O5" s="102"/>
      <c r="P5" s="102"/>
      <c r="Q5" s="102"/>
      <c r="R5" s="102"/>
      <c r="S5" s="102"/>
      <c r="T5" s="102"/>
      <c r="U5" s="102"/>
      <c r="V5" s="102"/>
      <c r="W5" s="102"/>
      <c r="X5" s="102"/>
      <c r="Y5" s="102"/>
      <c r="Z5" s="102"/>
    </row>
    <row r="6" spans="1:26" s="10" customFormat="1" ht="18.75" x14ac:dyDescent="0.3">
      <c r="A6" s="15"/>
      <c r="B6" s="15"/>
      <c r="L6" s="13"/>
    </row>
    <row r="7" spans="1:26" s="10" customFormat="1" ht="18.75" x14ac:dyDescent="0.2">
      <c r="A7" s="431" t="s">
        <v>6</v>
      </c>
      <c r="B7" s="431"/>
      <c r="C7" s="431"/>
      <c r="D7" s="431"/>
      <c r="E7" s="431"/>
      <c r="F7" s="431"/>
      <c r="G7" s="431"/>
      <c r="H7" s="431"/>
      <c r="I7" s="431"/>
      <c r="J7" s="431"/>
      <c r="K7" s="431"/>
      <c r="L7" s="431"/>
      <c r="M7" s="431"/>
      <c r="N7" s="93"/>
      <c r="O7" s="93"/>
      <c r="P7" s="93"/>
      <c r="Q7" s="93"/>
      <c r="R7" s="93"/>
      <c r="S7" s="93"/>
      <c r="T7" s="93"/>
      <c r="U7" s="93"/>
      <c r="V7" s="93"/>
      <c r="W7" s="93"/>
      <c r="X7" s="93"/>
    </row>
    <row r="8" spans="1:26" s="10" customFormat="1" ht="18.75" x14ac:dyDescent="0.2">
      <c r="A8" s="431"/>
      <c r="B8" s="431"/>
      <c r="C8" s="431"/>
      <c r="D8" s="431"/>
      <c r="E8" s="431"/>
      <c r="F8" s="431"/>
      <c r="G8" s="431"/>
      <c r="H8" s="431"/>
      <c r="I8" s="431"/>
      <c r="J8" s="431"/>
      <c r="K8" s="431"/>
      <c r="L8" s="431"/>
      <c r="M8" s="431"/>
      <c r="N8" s="93"/>
      <c r="O8" s="93"/>
      <c r="P8" s="93"/>
      <c r="Q8" s="93"/>
      <c r="R8" s="93"/>
      <c r="S8" s="93"/>
      <c r="T8" s="93"/>
      <c r="U8" s="93"/>
      <c r="V8" s="93"/>
      <c r="W8" s="93"/>
      <c r="X8" s="93"/>
    </row>
    <row r="9" spans="1:26" s="10" customFormat="1" ht="18.75" x14ac:dyDescent="0.2">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93"/>
      <c r="O9" s="93"/>
      <c r="P9" s="93"/>
      <c r="Q9" s="93"/>
      <c r="R9" s="93"/>
      <c r="S9" s="93"/>
      <c r="T9" s="93"/>
      <c r="U9" s="93"/>
      <c r="V9" s="93"/>
      <c r="W9" s="93"/>
      <c r="X9" s="93"/>
    </row>
    <row r="10" spans="1:26" s="10" customFormat="1" ht="18.75" x14ac:dyDescent="0.2">
      <c r="A10" s="378" t="s">
        <v>5</v>
      </c>
      <c r="B10" s="378"/>
      <c r="C10" s="378"/>
      <c r="D10" s="378"/>
      <c r="E10" s="378"/>
      <c r="F10" s="378"/>
      <c r="G10" s="378"/>
      <c r="H10" s="378"/>
      <c r="I10" s="378"/>
      <c r="J10" s="378"/>
      <c r="K10" s="378"/>
      <c r="L10" s="378"/>
      <c r="M10" s="378"/>
      <c r="N10" s="93"/>
      <c r="O10" s="93"/>
      <c r="P10" s="93"/>
      <c r="Q10" s="93"/>
      <c r="R10" s="93"/>
      <c r="S10" s="93"/>
      <c r="T10" s="93"/>
      <c r="U10" s="93"/>
      <c r="V10" s="93"/>
      <c r="W10" s="93"/>
      <c r="X10" s="93"/>
    </row>
    <row r="11" spans="1:26" s="10" customFormat="1" ht="18.75" x14ac:dyDescent="0.2">
      <c r="A11" s="431"/>
      <c r="B11" s="431"/>
      <c r="C11" s="431"/>
      <c r="D11" s="431"/>
      <c r="E11" s="431"/>
      <c r="F11" s="431"/>
      <c r="G11" s="431"/>
      <c r="H11" s="431"/>
      <c r="I11" s="431"/>
      <c r="J11" s="431"/>
      <c r="K11" s="431"/>
      <c r="L11" s="431"/>
      <c r="M11" s="431"/>
      <c r="N11" s="93"/>
      <c r="O11" s="93"/>
      <c r="P11" s="93"/>
      <c r="Q11" s="93"/>
      <c r="R11" s="93"/>
      <c r="S11" s="93"/>
      <c r="T11" s="93"/>
      <c r="U11" s="93"/>
      <c r="V11" s="93"/>
      <c r="W11" s="93"/>
      <c r="X11" s="93"/>
    </row>
    <row r="12" spans="1:26" s="10" customFormat="1" ht="18.75" x14ac:dyDescent="0.2">
      <c r="A12" s="432" t="str">
        <f>'1. паспорт местоположение'!A12:C12</f>
        <v>L_19-0964</v>
      </c>
      <c r="B12" s="432"/>
      <c r="C12" s="432"/>
      <c r="D12" s="432"/>
      <c r="E12" s="432"/>
      <c r="F12" s="432"/>
      <c r="G12" s="432"/>
      <c r="H12" s="432"/>
      <c r="I12" s="432"/>
      <c r="J12" s="432"/>
      <c r="K12" s="432"/>
      <c r="L12" s="432"/>
      <c r="M12" s="432"/>
      <c r="N12" s="93"/>
      <c r="O12" s="93"/>
      <c r="P12" s="93"/>
      <c r="Q12" s="93"/>
      <c r="R12" s="93"/>
      <c r="S12" s="93"/>
      <c r="T12" s="93"/>
      <c r="U12" s="93"/>
      <c r="V12" s="93"/>
      <c r="W12" s="93"/>
      <c r="X12" s="93"/>
    </row>
    <row r="13" spans="1:26" s="10" customFormat="1" ht="18.75" x14ac:dyDescent="0.2">
      <c r="A13" s="378" t="s">
        <v>4</v>
      </c>
      <c r="B13" s="378"/>
      <c r="C13" s="378"/>
      <c r="D13" s="378"/>
      <c r="E13" s="378"/>
      <c r="F13" s="378"/>
      <c r="G13" s="378"/>
      <c r="H13" s="378"/>
      <c r="I13" s="378"/>
      <c r="J13" s="378"/>
      <c r="K13" s="378"/>
      <c r="L13" s="378"/>
      <c r="M13" s="378"/>
      <c r="N13" s="93"/>
      <c r="O13" s="93"/>
      <c r="P13" s="93"/>
      <c r="Q13" s="93"/>
      <c r="R13" s="93"/>
      <c r="S13" s="93"/>
      <c r="T13" s="93"/>
      <c r="U13" s="93"/>
      <c r="V13" s="93"/>
      <c r="W13" s="93"/>
      <c r="X13" s="93"/>
    </row>
    <row r="14" spans="1:26" s="7" customFormat="1" ht="15.75" customHeight="1" x14ac:dyDescent="0.2">
      <c r="A14" s="433"/>
      <c r="B14" s="433"/>
      <c r="C14" s="433"/>
      <c r="D14" s="433"/>
      <c r="E14" s="433"/>
      <c r="F14" s="433"/>
      <c r="G14" s="433"/>
      <c r="H14" s="433"/>
      <c r="I14" s="433"/>
      <c r="J14" s="433"/>
      <c r="K14" s="433"/>
      <c r="L14" s="433"/>
      <c r="M14" s="433"/>
      <c r="N14" s="314"/>
      <c r="O14" s="314"/>
      <c r="P14" s="314"/>
      <c r="Q14" s="314"/>
      <c r="R14" s="314"/>
      <c r="S14" s="314"/>
      <c r="T14" s="314"/>
      <c r="U14" s="314"/>
      <c r="V14" s="314"/>
      <c r="W14" s="314"/>
      <c r="X14" s="314"/>
    </row>
    <row r="15" spans="1:26" s="2" customFormat="1" ht="39.75" customHeight="1" x14ac:dyDescent="0.2">
      <c r="A15" s="434" t="str">
        <f>'1. паспорт местоположение'!A15</f>
        <v>Строительство КЛ 15 кВ взамен существующей ВЛ 15 кВ № 15-82 (инв. № 5114524) протяженностью 0,52 км в Полесском районе</v>
      </c>
      <c r="B15" s="434"/>
      <c r="C15" s="434"/>
      <c r="D15" s="434"/>
      <c r="E15" s="434"/>
      <c r="F15" s="434"/>
      <c r="G15" s="434"/>
      <c r="H15" s="434"/>
      <c r="I15" s="434"/>
      <c r="J15" s="434"/>
      <c r="K15" s="434"/>
      <c r="L15" s="434"/>
      <c r="M15" s="434"/>
      <c r="N15" s="94"/>
      <c r="O15" s="94"/>
      <c r="P15" s="94"/>
      <c r="Q15" s="94"/>
      <c r="R15" s="94"/>
      <c r="S15" s="94"/>
      <c r="T15" s="94"/>
      <c r="U15" s="94"/>
      <c r="V15" s="94"/>
      <c r="W15" s="94"/>
      <c r="X15" s="94"/>
    </row>
    <row r="16" spans="1:26" s="2" customFormat="1" ht="15" customHeight="1" x14ac:dyDescent="0.2">
      <c r="A16" s="378" t="s">
        <v>3</v>
      </c>
      <c r="B16" s="378"/>
      <c r="C16" s="378"/>
      <c r="D16" s="378"/>
      <c r="E16" s="378"/>
      <c r="F16" s="378"/>
      <c r="G16" s="378"/>
      <c r="H16" s="378"/>
      <c r="I16" s="378"/>
      <c r="J16" s="378"/>
      <c r="K16" s="378"/>
      <c r="L16" s="378"/>
      <c r="M16" s="378"/>
      <c r="N16" s="95"/>
      <c r="O16" s="95"/>
      <c r="P16" s="95"/>
      <c r="Q16" s="95"/>
      <c r="R16" s="95"/>
      <c r="S16" s="95"/>
      <c r="T16" s="95"/>
      <c r="U16" s="95"/>
      <c r="V16" s="95"/>
      <c r="W16" s="95"/>
      <c r="X16" s="95"/>
    </row>
    <row r="17" spans="1:24" s="2" customFormat="1" ht="15" customHeight="1" x14ac:dyDescent="0.2">
      <c r="A17" s="401"/>
      <c r="B17" s="401"/>
      <c r="C17" s="401"/>
      <c r="D17" s="401"/>
      <c r="E17" s="401"/>
      <c r="F17" s="401"/>
      <c r="G17" s="401"/>
      <c r="H17" s="401"/>
      <c r="I17" s="401"/>
      <c r="J17" s="401"/>
      <c r="K17" s="401"/>
      <c r="L17" s="401"/>
      <c r="M17" s="401"/>
      <c r="N17" s="312"/>
      <c r="O17" s="312"/>
      <c r="P17" s="312"/>
      <c r="Q17" s="312"/>
      <c r="R17" s="312"/>
      <c r="S17" s="312"/>
      <c r="T17" s="312"/>
      <c r="U17" s="312"/>
    </row>
    <row r="18" spans="1:24" s="2" customFormat="1" ht="91.5" customHeight="1" x14ac:dyDescent="0.2">
      <c r="A18" s="435" t="s">
        <v>364</v>
      </c>
      <c r="B18" s="435"/>
      <c r="C18" s="435"/>
      <c r="D18" s="435"/>
      <c r="E18" s="435"/>
      <c r="F18" s="435"/>
      <c r="G18" s="435"/>
      <c r="H18" s="435"/>
      <c r="I18" s="435"/>
      <c r="J18" s="435"/>
      <c r="K18" s="435"/>
      <c r="L18" s="435"/>
      <c r="M18" s="435"/>
      <c r="N18" s="5"/>
      <c r="O18" s="5"/>
      <c r="P18" s="5"/>
      <c r="Q18" s="5"/>
      <c r="R18" s="5"/>
      <c r="S18" s="5"/>
      <c r="T18" s="5"/>
      <c r="U18" s="5"/>
      <c r="V18" s="5"/>
      <c r="W18" s="5"/>
      <c r="X18" s="5"/>
    </row>
    <row r="19" spans="1:24" s="2" customFormat="1" ht="78" customHeight="1" x14ac:dyDescent="0.2">
      <c r="A19" s="427" t="s">
        <v>2</v>
      </c>
      <c r="B19" s="427" t="s">
        <v>81</v>
      </c>
      <c r="C19" s="427" t="s">
        <v>80</v>
      </c>
      <c r="D19" s="427" t="s">
        <v>72</v>
      </c>
      <c r="E19" s="428" t="s">
        <v>79</v>
      </c>
      <c r="F19" s="429"/>
      <c r="G19" s="429"/>
      <c r="H19" s="429"/>
      <c r="I19" s="430"/>
      <c r="J19" s="427" t="s">
        <v>78</v>
      </c>
      <c r="K19" s="427"/>
      <c r="L19" s="427"/>
      <c r="M19" s="427"/>
      <c r="N19" s="312"/>
      <c r="O19" s="312"/>
      <c r="P19" s="312"/>
      <c r="Q19" s="312"/>
      <c r="R19" s="312"/>
      <c r="S19" s="312"/>
      <c r="T19" s="312"/>
      <c r="U19" s="312"/>
    </row>
    <row r="20" spans="1:24" s="2" customFormat="1" ht="51" customHeight="1" x14ac:dyDescent="0.2">
      <c r="A20" s="427"/>
      <c r="B20" s="427"/>
      <c r="C20" s="427"/>
      <c r="D20" s="427"/>
      <c r="E20" s="332" t="s">
        <v>77</v>
      </c>
      <c r="F20" s="332" t="s">
        <v>76</v>
      </c>
      <c r="G20" s="332" t="s">
        <v>75</v>
      </c>
      <c r="H20" s="332" t="s">
        <v>74</v>
      </c>
      <c r="I20" s="332" t="s">
        <v>73</v>
      </c>
      <c r="J20" s="332">
        <v>2020</v>
      </c>
      <c r="K20" s="332">
        <v>2021</v>
      </c>
      <c r="L20" s="332">
        <v>2022</v>
      </c>
      <c r="M20" s="332">
        <v>2023</v>
      </c>
      <c r="N20" s="26"/>
      <c r="O20" s="26"/>
      <c r="P20" s="26"/>
      <c r="Q20" s="26"/>
      <c r="R20" s="26"/>
      <c r="S20" s="26"/>
      <c r="T20" s="26"/>
      <c r="U20" s="26"/>
      <c r="V20" s="25"/>
      <c r="W20" s="25"/>
      <c r="X20" s="25"/>
    </row>
    <row r="21" spans="1:24" s="2" customFormat="1" ht="16.5" customHeight="1" x14ac:dyDescent="0.2">
      <c r="A21" s="266">
        <v>1</v>
      </c>
      <c r="B21" s="333">
        <v>2</v>
      </c>
      <c r="C21" s="266">
        <v>3</v>
      </c>
      <c r="D21" s="333">
        <v>4</v>
      </c>
      <c r="E21" s="266">
        <v>5</v>
      </c>
      <c r="F21" s="333">
        <v>6</v>
      </c>
      <c r="G21" s="266">
        <v>7</v>
      </c>
      <c r="H21" s="333">
        <v>8</v>
      </c>
      <c r="I21" s="266">
        <v>9</v>
      </c>
      <c r="J21" s="333">
        <v>10</v>
      </c>
      <c r="K21" s="266">
        <v>11</v>
      </c>
      <c r="L21" s="333">
        <v>12</v>
      </c>
      <c r="M21" s="266">
        <v>13</v>
      </c>
      <c r="N21" s="26"/>
      <c r="O21" s="26"/>
      <c r="P21" s="26"/>
      <c r="Q21" s="26"/>
      <c r="R21" s="26"/>
      <c r="S21" s="26"/>
      <c r="T21" s="26"/>
      <c r="U21" s="26"/>
      <c r="V21" s="25"/>
      <c r="W21" s="25"/>
      <c r="X21" s="25"/>
    </row>
    <row r="22" spans="1:24" s="2" customFormat="1" ht="33" customHeight="1" x14ac:dyDescent="0.2">
      <c r="A22" s="334" t="s">
        <v>61</v>
      </c>
      <c r="B22" s="335" t="s">
        <v>569</v>
      </c>
      <c r="C22" s="336">
        <v>0</v>
      </c>
      <c r="D22" s="336">
        <v>0</v>
      </c>
      <c r="E22" s="336">
        <v>0</v>
      </c>
      <c r="F22" s="336">
        <v>0</v>
      </c>
      <c r="G22" s="336">
        <v>0</v>
      </c>
      <c r="H22" s="336">
        <v>0</v>
      </c>
      <c r="I22" s="336">
        <v>0</v>
      </c>
      <c r="J22" s="337">
        <v>0</v>
      </c>
      <c r="K22" s="337">
        <v>0</v>
      </c>
      <c r="L22" s="338">
        <v>0</v>
      </c>
      <c r="M22" s="338">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1"/>
  <sheetViews>
    <sheetView topLeftCell="A7" zoomScale="80" zoomScaleNormal="80" workbookViewId="0">
      <selection activeCell="C25" sqref="C25"/>
    </sheetView>
  </sheetViews>
  <sheetFormatPr defaultColWidth="9.140625" defaultRowHeight="15.75" x14ac:dyDescent="0.2"/>
  <cols>
    <col min="1" max="1" width="61.7109375" style="143" customWidth="1"/>
    <col min="2" max="2" width="18.5703125" style="107" customWidth="1"/>
    <col min="3" max="12" width="16.85546875" style="107" customWidth="1"/>
    <col min="13" max="32" width="16.85546875" style="107" hidden="1" customWidth="1"/>
    <col min="33" max="33" width="16.85546875" style="107" customWidth="1"/>
    <col min="34" max="238" width="9.140625" style="108"/>
    <col min="239" max="239" width="61.7109375" style="108" customWidth="1"/>
    <col min="240" max="240" width="18.5703125" style="108" customWidth="1"/>
    <col min="241" max="280" width="16.85546875" style="108" customWidth="1"/>
    <col min="281" max="282" width="18.5703125" style="108" customWidth="1"/>
    <col min="283" max="283" width="21.7109375" style="108" customWidth="1"/>
    <col min="284" max="494" width="9.140625" style="108"/>
    <col min="495" max="495" width="61.7109375" style="108" customWidth="1"/>
    <col min="496" max="496" width="18.5703125" style="108" customWidth="1"/>
    <col min="497" max="536" width="16.85546875" style="108" customWidth="1"/>
    <col min="537" max="538" width="18.5703125" style="108" customWidth="1"/>
    <col min="539" max="539" width="21.7109375" style="108" customWidth="1"/>
    <col min="540" max="750" width="9.140625" style="108"/>
    <col min="751" max="751" width="61.7109375" style="108" customWidth="1"/>
    <col min="752" max="752" width="18.5703125" style="108" customWidth="1"/>
    <col min="753" max="792" width="16.85546875" style="108" customWidth="1"/>
    <col min="793" max="794" width="18.5703125" style="108" customWidth="1"/>
    <col min="795" max="795" width="21.7109375" style="108" customWidth="1"/>
    <col min="796" max="1006" width="9.140625" style="108"/>
    <col min="1007" max="1007" width="61.7109375" style="108" customWidth="1"/>
    <col min="1008" max="1008" width="18.5703125" style="108" customWidth="1"/>
    <col min="1009" max="1048" width="16.85546875" style="108" customWidth="1"/>
    <col min="1049" max="1050" width="18.5703125" style="108" customWidth="1"/>
    <col min="1051" max="1051" width="21.7109375" style="108" customWidth="1"/>
    <col min="1052" max="1262" width="9.140625" style="108"/>
    <col min="1263" max="1263" width="61.7109375" style="108" customWidth="1"/>
    <col min="1264" max="1264" width="18.5703125" style="108" customWidth="1"/>
    <col min="1265" max="1304" width="16.85546875" style="108" customWidth="1"/>
    <col min="1305" max="1306" width="18.5703125" style="108" customWidth="1"/>
    <col min="1307" max="1307" width="21.7109375" style="108" customWidth="1"/>
    <col min="1308" max="1518" width="9.140625" style="108"/>
    <col min="1519" max="1519" width="61.7109375" style="108" customWidth="1"/>
    <col min="1520" max="1520" width="18.5703125" style="108" customWidth="1"/>
    <col min="1521" max="1560" width="16.85546875" style="108" customWidth="1"/>
    <col min="1561" max="1562" width="18.5703125" style="108" customWidth="1"/>
    <col min="1563" max="1563" width="21.7109375" style="108" customWidth="1"/>
    <col min="1564" max="1774" width="9.140625" style="108"/>
    <col min="1775" max="1775" width="61.7109375" style="108" customWidth="1"/>
    <col min="1776" max="1776" width="18.5703125" style="108" customWidth="1"/>
    <col min="1777" max="1816" width="16.85546875" style="108" customWidth="1"/>
    <col min="1817" max="1818" width="18.5703125" style="108" customWidth="1"/>
    <col min="1819" max="1819" width="21.7109375" style="108" customWidth="1"/>
    <col min="1820" max="2030" width="9.140625" style="108"/>
    <col min="2031" max="2031" width="61.7109375" style="108" customWidth="1"/>
    <col min="2032" max="2032" width="18.5703125" style="108" customWidth="1"/>
    <col min="2033" max="2072" width="16.85546875" style="108" customWidth="1"/>
    <col min="2073" max="2074" width="18.5703125" style="108" customWidth="1"/>
    <col min="2075" max="2075" width="21.7109375" style="108" customWidth="1"/>
    <col min="2076" max="2286" width="9.140625" style="108"/>
    <col min="2287" max="2287" width="61.7109375" style="108" customWidth="1"/>
    <col min="2288" max="2288" width="18.5703125" style="108" customWidth="1"/>
    <col min="2289" max="2328" width="16.85546875" style="108" customWidth="1"/>
    <col min="2329" max="2330" width="18.5703125" style="108" customWidth="1"/>
    <col min="2331" max="2331" width="21.7109375" style="108" customWidth="1"/>
    <col min="2332" max="2542" width="9.140625" style="108"/>
    <col min="2543" max="2543" width="61.7109375" style="108" customWidth="1"/>
    <col min="2544" max="2544" width="18.5703125" style="108" customWidth="1"/>
    <col min="2545" max="2584" width="16.85546875" style="108" customWidth="1"/>
    <col min="2585" max="2586" width="18.5703125" style="108" customWidth="1"/>
    <col min="2587" max="2587" width="21.7109375" style="108" customWidth="1"/>
    <col min="2588" max="2798" width="9.140625" style="108"/>
    <col min="2799" max="2799" width="61.7109375" style="108" customWidth="1"/>
    <col min="2800" max="2800" width="18.5703125" style="108" customWidth="1"/>
    <col min="2801" max="2840" width="16.85546875" style="108" customWidth="1"/>
    <col min="2841" max="2842" width="18.5703125" style="108" customWidth="1"/>
    <col min="2843" max="2843" width="21.7109375" style="108" customWidth="1"/>
    <col min="2844" max="3054" width="9.140625" style="108"/>
    <col min="3055" max="3055" width="61.7109375" style="108" customWidth="1"/>
    <col min="3056" max="3056" width="18.5703125" style="108" customWidth="1"/>
    <col min="3057" max="3096" width="16.85546875" style="108" customWidth="1"/>
    <col min="3097" max="3098" width="18.5703125" style="108" customWidth="1"/>
    <col min="3099" max="3099" width="21.7109375" style="108" customWidth="1"/>
    <col min="3100" max="3310" width="9.140625" style="108"/>
    <col min="3311" max="3311" width="61.7109375" style="108" customWidth="1"/>
    <col min="3312" max="3312" width="18.5703125" style="108" customWidth="1"/>
    <col min="3313" max="3352" width="16.85546875" style="108" customWidth="1"/>
    <col min="3353" max="3354" width="18.5703125" style="108" customWidth="1"/>
    <col min="3355" max="3355" width="21.7109375" style="108" customWidth="1"/>
    <col min="3356" max="3566" width="9.140625" style="108"/>
    <col min="3567" max="3567" width="61.7109375" style="108" customWidth="1"/>
    <col min="3568" max="3568" width="18.5703125" style="108" customWidth="1"/>
    <col min="3569" max="3608" width="16.85546875" style="108" customWidth="1"/>
    <col min="3609" max="3610" width="18.5703125" style="108" customWidth="1"/>
    <col min="3611" max="3611" width="21.7109375" style="108" customWidth="1"/>
    <col min="3612" max="3822" width="9.140625" style="108"/>
    <col min="3823" max="3823" width="61.7109375" style="108" customWidth="1"/>
    <col min="3824" max="3824" width="18.5703125" style="108" customWidth="1"/>
    <col min="3825" max="3864" width="16.85546875" style="108" customWidth="1"/>
    <col min="3865" max="3866" width="18.5703125" style="108" customWidth="1"/>
    <col min="3867" max="3867" width="21.7109375" style="108" customWidth="1"/>
    <col min="3868" max="4078" width="9.140625" style="108"/>
    <col min="4079" max="4079" width="61.7109375" style="108" customWidth="1"/>
    <col min="4080" max="4080" width="18.5703125" style="108" customWidth="1"/>
    <col min="4081" max="4120" width="16.85546875" style="108" customWidth="1"/>
    <col min="4121" max="4122" width="18.5703125" style="108" customWidth="1"/>
    <col min="4123" max="4123" width="21.7109375" style="108" customWidth="1"/>
    <col min="4124" max="4334" width="9.140625" style="108"/>
    <col min="4335" max="4335" width="61.7109375" style="108" customWidth="1"/>
    <col min="4336" max="4336" width="18.5703125" style="108" customWidth="1"/>
    <col min="4337" max="4376" width="16.85546875" style="108" customWidth="1"/>
    <col min="4377" max="4378" width="18.5703125" style="108" customWidth="1"/>
    <col min="4379" max="4379" width="21.7109375" style="108" customWidth="1"/>
    <col min="4380" max="4590" width="9.140625" style="108"/>
    <col min="4591" max="4591" width="61.7109375" style="108" customWidth="1"/>
    <col min="4592" max="4592" width="18.5703125" style="108" customWidth="1"/>
    <col min="4593" max="4632" width="16.85546875" style="108" customWidth="1"/>
    <col min="4633" max="4634" width="18.5703125" style="108" customWidth="1"/>
    <col min="4635" max="4635" width="21.7109375" style="108" customWidth="1"/>
    <col min="4636" max="4846" width="9.140625" style="108"/>
    <col min="4847" max="4847" width="61.7109375" style="108" customWidth="1"/>
    <col min="4848" max="4848" width="18.5703125" style="108" customWidth="1"/>
    <col min="4849" max="4888" width="16.85546875" style="108" customWidth="1"/>
    <col min="4889" max="4890" width="18.5703125" style="108" customWidth="1"/>
    <col min="4891" max="4891" width="21.7109375" style="108" customWidth="1"/>
    <col min="4892" max="5102" width="9.140625" style="108"/>
    <col min="5103" max="5103" width="61.7109375" style="108" customWidth="1"/>
    <col min="5104" max="5104" width="18.5703125" style="108" customWidth="1"/>
    <col min="5105" max="5144" width="16.85546875" style="108" customWidth="1"/>
    <col min="5145" max="5146" width="18.5703125" style="108" customWidth="1"/>
    <col min="5147" max="5147" width="21.7109375" style="108" customWidth="1"/>
    <col min="5148" max="5358" width="9.140625" style="108"/>
    <col min="5359" max="5359" width="61.7109375" style="108" customWidth="1"/>
    <col min="5360" max="5360" width="18.5703125" style="108" customWidth="1"/>
    <col min="5361" max="5400" width="16.85546875" style="108" customWidth="1"/>
    <col min="5401" max="5402" width="18.5703125" style="108" customWidth="1"/>
    <col min="5403" max="5403" width="21.7109375" style="108" customWidth="1"/>
    <col min="5404" max="5614" width="9.140625" style="108"/>
    <col min="5615" max="5615" width="61.7109375" style="108" customWidth="1"/>
    <col min="5616" max="5616" width="18.5703125" style="108" customWidth="1"/>
    <col min="5617" max="5656" width="16.85546875" style="108" customWidth="1"/>
    <col min="5657" max="5658" width="18.5703125" style="108" customWidth="1"/>
    <col min="5659" max="5659" width="21.7109375" style="108" customWidth="1"/>
    <col min="5660" max="5870" width="9.140625" style="108"/>
    <col min="5871" max="5871" width="61.7109375" style="108" customWidth="1"/>
    <col min="5872" max="5872" width="18.5703125" style="108" customWidth="1"/>
    <col min="5873" max="5912" width="16.85546875" style="108" customWidth="1"/>
    <col min="5913" max="5914" width="18.5703125" style="108" customWidth="1"/>
    <col min="5915" max="5915" width="21.7109375" style="108" customWidth="1"/>
    <col min="5916" max="6126" width="9.140625" style="108"/>
    <col min="6127" max="6127" width="61.7109375" style="108" customWidth="1"/>
    <col min="6128" max="6128" width="18.5703125" style="108" customWidth="1"/>
    <col min="6129" max="6168" width="16.85546875" style="108" customWidth="1"/>
    <col min="6169" max="6170" width="18.5703125" style="108" customWidth="1"/>
    <col min="6171" max="6171" width="21.7109375" style="108" customWidth="1"/>
    <col min="6172" max="6382" width="9.140625" style="108"/>
    <col min="6383" max="6383" width="61.7109375" style="108" customWidth="1"/>
    <col min="6384" max="6384" width="18.5703125" style="108" customWidth="1"/>
    <col min="6385" max="6424" width="16.85546875" style="108" customWidth="1"/>
    <col min="6425" max="6426" width="18.5703125" style="108" customWidth="1"/>
    <col min="6427" max="6427" width="21.7109375" style="108" customWidth="1"/>
    <col min="6428" max="6638" width="9.140625" style="108"/>
    <col min="6639" max="6639" width="61.7109375" style="108" customWidth="1"/>
    <col min="6640" max="6640" width="18.5703125" style="108" customWidth="1"/>
    <col min="6641" max="6680" width="16.85546875" style="108" customWidth="1"/>
    <col min="6681" max="6682" width="18.5703125" style="108" customWidth="1"/>
    <col min="6683" max="6683" width="21.7109375" style="108" customWidth="1"/>
    <col min="6684" max="6894" width="9.140625" style="108"/>
    <col min="6895" max="6895" width="61.7109375" style="108" customWidth="1"/>
    <col min="6896" max="6896" width="18.5703125" style="108" customWidth="1"/>
    <col min="6897" max="6936" width="16.85546875" style="108" customWidth="1"/>
    <col min="6937" max="6938" width="18.5703125" style="108" customWidth="1"/>
    <col min="6939" max="6939" width="21.7109375" style="108" customWidth="1"/>
    <col min="6940" max="7150" width="9.140625" style="108"/>
    <col min="7151" max="7151" width="61.7109375" style="108" customWidth="1"/>
    <col min="7152" max="7152" width="18.5703125" style="108" customWidth="1"/>
    <col min="7153" max="7192" width="16.85546875" style="108" customWidth="1"/>
    <col min="7193" max="7194" width="18.5703125" style="108" customWidth="1"/>
    <col min="7195" max="7195" width="21.7109375" style="108" customWidth="1"/>
    <col min="7196" max="7406" width="9.140625" style="108"/>
    <col min="7407" max="7407" width="61.7109375" style="108" customWidth="1"/>
    <col min="7408" max="7408" width="18.5703125" style="108" customWidth="1"/>
    <col min="7409" max="7448" width="16.85546875" style="108" customWidth="1"/>
    <col min="7449" max="7450" width="18.5703125" style="108" customWidth="1"/>
    <col min="7451" max="7451" width="21.7109375" style="108" customWidth="1"/>
    <col min="7452" max="7662" width="9.140625" style="108"/>
    <col min="7663" max="7663" width="61.7109375" style="108" customWidth="1"/>
    <col min="7664" max="7664" width="18.5703125" style="108" customWidth="1"/>
    <col min="7665" max="7704" width="16.85546875" style="108" customWidth="1"/>
    <col min="7705" max="7706" width="18.5703125" style="108" customWidth="1"/>
    <col min="7707" max="7707" width="21.7109375" style="108" customWidth="1"/>
    <col min="7708" max="7918" width="9.140625" style="108"/>
    <col min="7919" max="7919" width="61.7109375" style="108" customWidth="1"/>
    <col min="7920" max="7920" width="18.5703125" style="108" customWidth="1"/>
    <col min="7921" max="7960" width="16.85546875" style="108" customWidth="1"/>
    <col min="7961" max="7962" width="18.5703125" style="108" customWidth="1"/>
    <col min="7963" max="7963" width="21.7109375" style="108" customWidth="1"/>
    <col min="7964" max="8174" width="9.140625" style="108"/>
    <col min="8175" max="8175" width="61.7109375" style="108" customWidth="1"/>
    <col min="8176" max="8176" width="18.5703125" style="108" customWidth="1"/>
    <col min="8177" max="8216" width="16.85546875" style="108" customWidth="1"/>
    <col min="8217" max="8218" width="18.5703125" style="108" customWidth="1"/>
    <col min="8219" max="8219" width="21.7109375" style="108" customWidth="1"/>
    <col min="8220" max="8430" width="9.140625" style="108"/>
    <col min="8431" max="8431" width="61.7109375" style="108" customWidth="1"/>
    <col min="8432" max="8432" width="18.5703125" style="108" customWidth="1"/>
    <col min="8433" max="8472" width="16.85546875" style="108" customWidth="1"/>
    <col min="8473" max="8474" width="18.5703125" style="108" customWidth="1"/>
    <col min="8475" max="8475" width="21.7109375" style="108" customWidth="1"/>
    <col min="8476" max="8686" width="9.140625" style="108"/>
    <col min="8687" max="8687" width="61.7109375" style="108" customWidth="1"/>
    <col min="8688" max="8688" width="18.5703125" style="108" customWidth="1"/>
    <col min="8689" max="8728" width="16.85546875" style="108" customWidth="1"/>
    <col min="8729" max="8730" width="18.5703125" style="108" customWidth="1"/>
    <col min="8731" max="8731" width="21.7109375" style="108" customWidth="1"/>
    <col min="8732" max="8942" width="9.140625" style="108"/>
    <col min="8943" max="8943" width="61.7109375" style="108" customWidth="1"/>
    <col min="8944" max="8944" width="18.5703125" style="108" customWidth="1"/>
    <col min="8945" max="8984" width="16.85546875" style="108" customWidth="1"/>
    <col min="8985" max="8986" width="18.5703125" style="108" customWidth="1"/>
    <col min="8987" max="8987" width="21.7109375" style="108" customWidth="1"/>
    <col min="8988" max="9198" width="9.140625" style="108"/>
    <col min="9199" max="9199" width="61.7109375" style="108" customWidth="1"/>
    <col min="9200" max="9200" width="18.5703125" style="108" customWidth="1"/>
    <col min="9201" max="9240" width="16.85546875" style="108" customWidth="1"/>
    <col min="9241" max="9242" width="18.5703125" style="108" customWidth="1"/>
    <col min="9243" max="9243" width="21.7109375" style="108" customWidth="1"/>
    <col min="9244" max="9454" width="9.140625" style="108"/>
    <col min="9455" max="9455" width="61.7109375" style="108" customWidth="1"/>
    <col min="9456" max="9456" width="18.5703125" style="108" customWidth="1"/>
    <col min="9457" max="9496" width="16.85546875" style="108" customWidth="1"/>
    <col min="9497" max="9498" width="18.5703125" style="108" customWidth="1"/>
    <col min="9499" max="9499" width="21.7109375" style="108" customWidth="1"/>
    <col min="9500" max="9710" width="9.140625" style="108"/>
    <col min="9711" max="9711" width="61.7109375" style="108" customWidth="1"/>
    <col min="9712" max="9712" width="18.5703125" style="108" customWidth="1"/>
    <col min="9713" max="9752" width="16.85546875" style="108" customWidth="1"/>
    <col min="9753" max="9754" width="18.5703125" style="108" customWidth="1"/>
    <col min="9755" max="9755" width="21.7109375" style="108" customWidth="1"/>
    <col min="9756" max="9966" width="9.140625" style="108"/>
    <col min="9967" max="9967" width="61.7109375" style="108" customWidth="1"/>
    <col min="9968" max="9968" width="18.5703125" style="108" customWidth="1"/>
    <col min="9969" max="10008" width="16.85546875" style="108" customWidth="1"/>
    <col min="10009" max="10010" width="18.5703125" style="108" customWidth="1"/>
    <col min="10011" max="10011" width="21.7109375" style="108" customWidth="1"/>
    <col min="10012" max="10222" width="9.140625" style="108"/>
    <col min="10223" max="10223" width="61.7109375" style="108" customWidth="1"/>
    <col min="10224" max="10224" width="18.5703125" style="108" customWidth="1"/>
    <col min="10225" max="10264" width="16.85546875" style="108" customWidth="1"/>
    <col min="10265" max="10266" width="18.5703125" style="108" customWidth="1"/>
    <col min="10267" max="10267" width="21.7109375" style="108" customWidth="1"/>
    <col min="10268" max="10478" width="9.140625" style="108"/>
    <col min="10479" max="10479" width="61.7109375" style="108" customWidth="1"/>
    <col min="10480" max="10480" width="18.5703125" style="108" customWidth="1"/>
    <col min="10481" max="10520" width="16.85546875" style="108" customWidth="1"/>
    <col min="10521" max="10522" width="18.5703125" style="108" customWidth="1"/>
    <col min="10523" max="10523" width="21.7109375" style="108" customWidth="1"/>
    <col min="10524" max="10734" width="9.140625" style="108"/>
    <col min="10735" max="10735" width="61.7109375" style="108" customWidth="1"/>
    <col min="10736" max="10736" width="18.5703125" style="108" customWidth="1"/>
    <col min="10737" max="10776" width="16.85546875" style="108" customWidth="1"/>
    <col min="10777" max="10778" width="18.5703125" style="108" customWidth="1"/>
    <col min="10779" max="10779" width="21.7109375" style="108" customWidth="1"/>
    <col min="10780" max="10990" width="9.140625" style="108"/>
    <col min="10991" max="10991" width="61.7109375" style="108" customWidth="1"/>
    <col min="10992" max="10992" width="18.5703125" style="108" customWidth="1"/>
    <col min="10993" max="11032" width="16.85546875" style="108" customWidth="1"/>
    <col min="11033" max="11034" width="18.5703125" style="108" customWidth="1"/>
    <col min="11035" max="11035" width="21.7109375" style="108" customWidth="1"/>
    <col min="11036" max="11246" width="9.140625" style="108"/>
    <col min="11247" max="11247" width="61.7109375" style="108" customWidth="1"/>
    <col min="11248" max="11248" width="18.5703125" style="108" customWidth="1"/>
    <col min="11249" max="11288" width="16.85546875" style="108" customWidth="1"/>
    <col min="11289" max="11290" width="18.5703125" style="108" customWidth="1"/>
    <col min="11291" max="11291" width="21.7109375" style="108" customWidth="1"/>
    <col min="11292" max="11502" width="9.140625" style="108"/>
    <col min="11503" max="11503" width="61.7109375" style="108" customWidth="1"/>
    <col min="11504" max="11504" width="18.5703125" style="108" customWidth="1"/>
    <col min="11505" max="11544" width="16.85546875" style="108" customWidth="1"/>
    <col min="11545" max="11546" width="18.5703125" style="108" customWidth="1"/>
    <col min="11547" max="11547" width="21.7109375" style="108" customWidth="1"/>
    <col min="11548" max="11758" width="9.140625" style="108"/>
    <col min="11759" max="11759" width="61.7109375" style="108" customWidth="1"/>
    <col min="11760" max="11760" width="18.5703125" style="108" customWidth="1"/>
    <col min="11761" max="11800" width="16.85546875" style="108" customWidth="1"/>
    <col min="11801" max="11802" width="18.5703125" style="108" customWidth="1"/>
    <col min="11803" max="11803" width="21.7109375" style="108" customWidth="1"/>
    <col min="11804" max="12014" width="9.140625" style="108"/>
    <col min="12015" max="12015" width="61.7109375" style="108" customWidth="1"/>
    <col min="12016" max="12016" width="18.5703125" style="108" customWidth="1"/>
    <col min="12017" max="12056" width="16.85546875" style="108" customWidth="1"/>
    <col min="12057" max="12058" width="18.5703125" style="108" customWidth="1"/>
    <col min="12059" max="12059" width="21.7109375" style="108" customWidth="1"/>
    <col min="12060" max="12270" width="9.140625" style="108"/>
    <col min="12271" max="12271" width="61.7109375" style="108" customWidth="1"/>
    <col min="12272" max="12272" width="18.5703125" style="108" customWidth="1"/>
    <col min="12273" max="12312" width="16.85546875" style="108" customWidth="1"/>
    <col min="12313" max="12314" width="18.5703125" style="108" customWidth="1"/>
    <col min="12315" max="12315" width="21.7109375" style="108" customWidth="1"/>
    <col min="12316" max="12526" width="9.140625" style="108"/>
    <col min="12527" max="12527" width="61.7109375" style="108" customWidth="1"/>
    <col min="12528" max="12528" width="18.5703125" style="108" customWidth="1"/>
    <col min="12529" max="12568" width="16.85546875" style="108" customWidth="1"/>
    <col min="12569" max="12570" width="18.5703125" style="108" customWidth="1"/>
    <col min="12571" max="12571" width="21.7109375" style="108" customWidth="1"/>
    <col min="12572" max="12782" width="9.140625" style="108"/>
    <col min="12783" max="12783" width="61.7109375" style="108" customWidth="1"/>
    <col min="12784" max="12784" width="18.5703125" style="108" customWidth="1"/>
    <col min="12785" max="12824" width="16.85546875" style="108" customWidth="1"/>
    <col min="12825" max="12826" width="18.5703125" style="108" customWidth="1"/>
    <col min="12827" max="12827" width="21.7109375" style="108" customWidth="1"/>
    <col min="12828" max="13038" width="9.140625" style="108"/>
    <col min="13039" max="13039" width="61.7109375" style="108" customWidth="1"/>
    <col min="13040" max="13040" width="18.5703125" style="108" customWidth="1"/>
    <col min="13041" max="13080" width="16.85546875" style="108" customWidth="1"/>
    <col min="13081" max="13082" width="18.5703125" style="108" customWidth="1"/>
    <col min="13083" max="13083" width="21.7109375" style="108" customWidth="1"/>
    <col min="13084" max="13294" width="9.140625" style="108"/>
    <col min="13295" max="13295" width="61.7109375" style="108" customWidth="1"/>
    <col min="13296" max="13296" width="18.5703125" style="108" customWidth="1"/>
    <col min="13297" max="13336" width="16.85546875" style="108" customWidth="1"/>
    <col min="13337" max="13338" width="18.5703125" style="108" customWidth="1"/>
    <col min="13339" max="13339" width="21.7109375" style="108" customWidth="1"/>
    <col min="13340" max="13550" width="9.140625" style="108"/>
    <col min="13551" max="13551" width="61.7109375" style="108" customWidth="1"/>
    <col min="13552" max="13552" width="18.5703125" style="108" customWidth="1"/>
    <col min="13553" max="13592" width="16.85546875" style="108" customWidth="1"/>
    <col min="13593" max="13594" width="18.5703125" style="108" customWidth="1"/>
    <col min="13595" max="13595" width="21.7109375" style="108" customWidth="1"/>
    <col min="13596" max="13806" width="9.140625" style="108"/>
    <col min="13807" max="13807" width="61.7109375" style="108" customWidth="1"/>
    <col min="13808" max="13808" width="18.5703125" style="108" customWidth="1"/>
    <col min="13809" max="13848" width="16.85546875" style="108" customWidth="1"/>
    <col min="13849" max="13850" width="18.5703125" style="108" customWidth="1"/>
    <col min="13851" max="13851" width="21.7109375" style="108" customWidth="1"/>
    <col min="13852" max="14062" width="9.140625" style="108"/>
    <col min="14063" max="14063" width="61.7109375" style="108" customWidth="1"/>
    <col min="14064" max="14064" width="18.5703125" style="108" customWidth="1"/>
    <col min="14065" max="14104" width="16.85546875" style="108" customWidth="1"/>
    <col min="14105" max="14106" width="18.5703125" style="108" customWidth="1"/>
    <col min="14107" max="14107" width="21.7109375" style="108" customWidth="1"/>
    <col min="14108" max="14318" width="9.140625" style="108"/>
    <col min="14319" max="14319" width="61.7109375" style="108" customWidth="1"/>
    <col min="14320" max="14320" width="18.5703125" style="108" customWidth="1"/>
    <col min="14321" max="14360" width="16.85546875" style="108" customWidth="1"/>
    <col min="14361" max="14362" width="18.5703125" style="108" customWidth="1"/>
    <col min="14363" max="14363" width="21.7109375" style="108" customWidth="1"/>
    <col min="14364" max="14574" width="9.140625" style="108"/>
    <col min="14575" max="14575" width="61.7109375" style="108" customWidth="1"/>
    <col min="14576" max="14576" width="18.5703125" style="108" customWidth="1"/>
    <col min="14577" max="14616" width="16.85546875" style="108" customWidth="1"/>
    <col min="14617" max="14618" width="18.5703125" style="108" customWidth="1"/>
    <col min="14619" max="14619" width="21.7109375" style="108" customWidth="1"/>
    <col min="14620" max="14830" width="9.140625" style="108"/>
    <col min="14831" max="14831" width="61.7109375" style="108" customWidth="1"/>
    <col min="14832" max="14832" width="18.5703125" style="108" customWidth="1"/>
    <col min="14833" max="14872" width="16.85546875" style="108" customWidth="1"/>
    <col min="14873" max="14874" width="18.5703125" style="108" customWidth="1"/>
    <col min="14875" max="14875" width="21.7109375" style="108" customWidth="1"/>
    <col min="14876" max="15086" width="9.140625" style="108"/>
    <col min="15087" max="15087" width="61.7109375" style="108" customWidth="1"/>
    <col min="15088" max="15088" width="18.5703125" style="108" customWidth="1"/>
    <col min="15089" max="15128" width="16.85546875" style="108" customWidth="1"/>
    <col min="15129" max="15130" width="18.5703125" style="108" customWidth="1"/>
    <col min="15131" max="15131" width="21.7109375" style="108" customWidth="1"/>
    <col min="15132" max="15342" width="9.140625" style="108"/>
    <col min="15343" max="15343" width="61.7109375" style="108" customWidth="1"/>
    <col min="15344" max="15344" width="18.5703125" style="108" customWidth="1"/>
    <col min="15345" max="15384" width="16.85546875" style="108" customWidth="1"/>
    <col min="15385" max="15386" width="18.5703125" style="108" customWidth="1"/>
    <col min="15387" max="15387" width="21.7109375" style="108" customWidth="1"/>
    <col min="15388" max="15598" width="9.140625" style="108"/>
    <col min="15599" max="15599" width="61.7109375" style="108" customWidth="1"/>
    <col min="15600" max="15600" width="18.5703125" style="108" customWidth="1"/>
    <col min="15601" max="15640" width="16.85546875" style="108" customWidth="1"/>
    <col min="15641" max="15642" width="18.5703125" style="108" customWidth="1"/>
    <col min="15643" max="15643" width="21.7109375" style="108" customWidth="1"/>
    <col min="15644" max="15854" width="9.140625" style="108"/>
    <col min="15855" max="15855" width="61.7109375" style="108" customWidth="1"/>
    <col min="15856" max="15856" width="18.5703125" style="108" customWidth="1"/>
    <col min="15857" max="15896" width="16.85546875" style="108" customWidth="1"/>
    <col min="15897" max="15898" width="18.5703125" style="108" customWidth="1"/>
    <col min="15899" max="15899" width="21.7109375" style="108" customWidth="1"/>
    <col min="15900" max="16110" width="9.140625" style="108"/>
    <col min="16111" max="16111" width="61.7109375" style="108" customWidth="1"/>
    <col min="16112" max="16112" width="18.5703125" style="108" customWidth="1"/>
    <col min="16113" max="16152" width="16.85546875" style="108" customWidth="1"/>
    <col min="16153" max="16154" width="18.5703125" style="108" customWidth="1"/>
    <col min="16155" max="16155" width="21.7109375" style="108" customWidth="1"/>
    <col min="16156" max="16384" width="9.140625" style="108"/>
  </cols>
  <sheetData>
    <row r="1" spans="1:33"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row>
    <row r="2" spans="1:33" ht="18.75" x14ac:dyDescent="0.3">
      <c r="A2" s="16"/>
      <c r="B2" s="10"/>
      <c r="C2" s="10"/>
      <c r="D2" s="10"/>
      <c r="E2" s="108"/>
      <c r="F2" s="108"/>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row>
    <row r="3" spans="1:33" ht="18.75" x14ac:dyDescent="0.3">
      <c r="A3" s="15"/>
      <c r="B3" s="10"/>
      <c r="C3" s="10"/>
      <c r="D3" s="10"/>
      <c r="E3" s="108"/>
      <c r="F3" s="108"/>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row>
    <row r="4" spans="1:33"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row>
    <row r="5" spans="1:33" x14ac:dyDescent="0.2">
      <c r="A5" s="436" t="str">
        <f>'1. паспорт местоположение'!A5:C5</f>
        <v>Год раскрытия информации: 2023 год</v>
      </c>
      <c r="B5" s="436"/>
      <c r="C5" s="436"/>
      <c r="D5" s="436"/>
      <c r="E5" s="436"/>
      <c r="F5" s="436"/>
      <c r="G5" s="436"/>
      <c r="H5" s="436"/>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row>
    <row r="6" spans="1:33"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row>
    <row r="7" spans="1:33" ht="18.75" x14ac:dyDescent="0.2">
      <c r="A7" s="431" t="s">
        <v>6</v>
      </c>
      <c r="B7" s="431"/>
      <c r="C7" s="431"/>
      <c r="D7" s="431"/>
      <c r="E7" s="431"/>
      <c r="F7" s="431"/>
      <c r="G7" s="431"/>
      <c r="H7" s="431"/>
      <c r="I7" s="93"/>
      <c r="J7" s="93"/>
      <c r="K7" s="93"/>
      <c r="L7" s="93"/>
      <c r="M7" s="93"/>
      <c r="N7" s="93"/>
      <c r="O7" s="93"/>
      <c r="P7" s="93"/>
      <c r="Q7" s="93"/>
      <c r="R7" s="93"/>
      <c r="S7" s="93"/>
      <c r="T7" s="93"/>
      <c r="U7" s="93"/>
      <c r="V7" s="93"/>
      <c r="W7" s="93"/>
      <c r="X7" s="93"/>
      <c r="Y7" s="93"/>
      <c r="Z7" s="93"/>
      <c r="AA7" s="93"/>
      <c r="AB7" s="93"/>
      <c r="AC7" s="93"/>
      <c r="AD7" s="93"/>
      <c r="AE7" s="93"/>
      <c r="AF7" s="93"/>
      <c r="AG7" s="93"/>
    </row>
    <row r="8" spans="1:33" ht="18.75" x14ac:dyDescent="0.2">
      <c r="A8" s="368"/>
      <c r="B8" s="368"/>
      <c r="C8" s="368"/>
      <c r="D8" s="368"/>
      <c r="E8" s="368"/>
      <c r="F8" s="368"/>
      <c r="G8" s="368"/>
      <c r="H8" s="368"/>
      <c r="I8" s="368"/>
      <c r="J8" s="368"/>
      <c r="K8" s="368"/>
      <c r="L8" s="93"/>
      <c r="M8" s="93"/>
      <c r="N8" s="93"/>
      <c r="O8" s="93"/>
      <c r="P8" s="93"/>
      <c r="Q8" s="93"/>
      <c r="R8" s="93"/>
      <c r="S8" s="93"/>
      <c r="T8" s="93"/>
      <c r="U8" s="93"/>
      <c r="V8" s="93"/>
      <c r="W8" s="93"/>
      <c r="X8" s="93"/>
      <c r="Y8" s="93"/>
      <c r="Z8" s="10"/>
      <c r="AA8" s="10"/>
      <c r="AB8" s="10"/>
      <c r="AC8" s="10"/>
      <c r="AD8" s="10"/>
      <c r="AE8" s="10"/>
      <c r="AF8" s="10"/>
      <c r="AG8" s="10"/>
    </row>
    <row r="9" spans="1:33" ht="18.75" x14ac:dyDescent="0.2">
      <c r="A9" s="380" t="str">
        <f>'1. паспорт местоположение'!A9:C9</f>
        <v>Акционерное общество "Россети Янтарь"</v>
      </c>
      <c r="B9" s="380"/>
      <c r="C9" s="380"/>
      <c r="D9" s="380"/>
      <c r="E9" s="380"/>
      <c r="F9" s="380"/>
      <c r="G9" s="380"/>
      <c r="H9" s="380"/>
      <c r="I9" s="94"/>
      <c r="J9" s="94"/>
      <c r="K9" s="94"/>
      <c r="L9" s="94"/>
      <c r="M9" s="94"/>
      <c r="N9" s="94"/>
      <c r="O9" s="94"/>
      <c r="P9" s="94"/>
      <c r="Q9" s="94"/>
      <c r="R9" s="94"/>
      <c r="S9" s="94"/>
      <c r="T9" s="94"/>
      <c r="U9" s="94"/>
      <c r="V9" s="94"/>
      <c r="W9" s="94"/>
      <c r="X9" s="94"/>
      <c r="Y9" s="94"/>
      <c r="Z9" s="94"/>
      <c r="AA9" s="94"/>
      <c r="AB9" s="94"/>
      <c r="AC9" s="94"/>
      <c r="AD9" s="94"/>
      <c r="AE9" s="94"/>
      <c r="AF9" s="94"/>
      <c r="AG9" s="94"/>
    </row>
    <row r="10" spans="1:33" x14ac:dyDescent="0.2">
      <c r="A10" s="378" t="s">
        <v>5</v>
      </c>
      <c r="B10" s="378"/>
      <c r="C10" s="378"/>
      <c r="D10" s="378"/>
      <c r="E10" s="378"/>
      <c r="F10" s="378"/>
      <c r="G10" s="378"/>
      <c r="H10" s="378"/>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row>
    <row r="11" spans="1:33" ht="18.75" x14ac:dyDescent="0.2">
      <c r="A11" s="368"/>
      <c r="B11" s="368"/>
      <c r="C11" s="368"/>
      <c r="D11" s="368"/>
      <c r="E11" s="368"/>
      <c r="F11" s="368"/>
      <c r="G11" s="368"/>
      <c r="H11" s="368"/>
      <c r="I11" s="368"/>
      <c r="J11" s="368"/>
      <c r="K11" s="368"/>
      <c r="L11" s="93"/>
      <c r="M11" s="93"/>
      <c r="N11" s="93"/>
      <c r="O11" s="93"/>
      <c r="P11" s="93"/>
      <c r="Q11" s="93"/>
      <c r="R11" s="93"/>
      <c r="S11" s="93"/>
      <c r="T11" s="93"/>
      <c r="U11" s="93"/>
      <c r="V11" s="93"/>
      <c r="W11" s="93"/>
      <c r="X11" s="93"/>
      <c r="Y11" s="93"/>
      <c r="Z11" s="10"/>
      <c r="AA11" s="10"/>
      <c r="AB11" s="10"/>
      <c r="AC11" s="10"/>
      <c r="AD11" s="10"/>
      <c r="AE11" s="10"/>
      <c r="AF11" s="10"/>
      <c r="AG11" s="10"/>
    </row>
    <row r="12" spans="1:33" ht="18.75" x14ac:dyDescent="0.2">
      <c r="A12" s="380" t="str">
        <f>'1. паспорт местоположение'!A12:C12</f>
        <v>L_19-0964</v>
      </c>
      <c r="B12" s="380"/>
      <c r="C12" s="380"/>
      <c r="D12" s="380"/>
      <c r="E12" s="380"/>
      <c r="F12" s="380"/>
      <c r="G12" s="380"/>
      <c r="H12" s="380"/>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row>
    <row r="13" spans="1:33" x14ac:dyDescent="0.2">
      <c r="A13" s="378" t="s">
        <v>4</v>
      </c>
      <c r="B13" s="378"/>
      <c r="C13" s="378"/>
      <c r="D13" s="378"/>
      <c r="E13" s="378"/>
      <c r="F13" s="378"/>
      <c r="G13" s="378"/>
      <c r="H13" s="378"/>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7"/>
      <c r="AA14" s="7"/>
      <c r="AB14" s="7"/>
      <c r="AC14" s="7"/>
      <c r="AD14" s="7"/>
      <c r="AE14" s="7"/>
      <c r="AF14" s="7"/>
      <c r="AG14" s="7"/>
    </row>
    <row r="15" spans="1:33" ht="18.75" x14ac:dyDescent="0.2">
      <c r="A15" s="450" t="str">
        <f>'1. паспорт местоположение'!A15:C15</f>
        <v>Строительство КЛ 15 кВ взамен существующей ВЛ 15 кВ № 15-82 (инв. № 5114524) протяженностью 0,52 км в Полесском районе</v>
      </c>
      <c r="B15" s="379"/>
      <c r="C15" s="379"/>
      <c r="D15" s="379"/>
      <c r="E15" s="379"/>
      <c r="F15" s="379"/>
      <c r="G15" s="379"/>
      <c r="H15" s="379"/>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row>
    <row r="16" spans="1:33" x14ac:dyDescent="0.2">
      <c r="A16" s="378" t="s">
        <v>3</v>
      </c>
      <c r="B16" s="378"/>
      <c r="C16" s="378"/>
      <c r="D16" s="378"/>
      <c r="E16" s="378"/>
      <c r="F16" s="378"/>
      <c r="G16" s="378"/>
      <c r="H16" s="378"/>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row>
    <row r="17" spans="1:33" ht="18.75" x14ac:dyDescent="0.2">
      <c r="A17" s="367"/>
      <c r="B17" s="367"/>
      <c r="C17" s="367"/>
      <c r="D17" s="367"/>
      <c r="E17" s="367"/>
      <c r="F17" s="367"/>
      <c r="G17" s="367"/>
      <c r="H17" s="367"/>
      <c r="I17" s="367"/>
      <c r="J17" s="367"/>
      <c r="K17" s="367"/>
      <c r="L17" s="367"/>
      <c r="M17" s="367"/>
      <c r="N17" s="367"/>
      <c r="O17" s="367"/>
      <c r="P17" s="367"/>
      <c r="Q17" s="367"/>
      <c r="R17" s="367"/>
      <c r="S17" s="367"/>
      <c r="T17" s="367"/>
      <c r="U17" s="367"/>
      <c r="V17" s="367"/>
      <c r="W17" s="2"/>
      <c r="X17" s="2"/>
      <c r="Y17" s="2"/>
      <c r="Z17" s="2"/>
      <c r="AA17" s="2"/>
      <c r="AB17" s="2"/>
      <c r="AC17" s="2"/>
      <c r="AD17" s="2"/>
      <c r="AE17" s="2"/>
      <c r="AF17" s="2"/>
      <c r="AG17" s="2"/>
    </row>
    <row r="18" spans="1:33" ht="18.75" x14ac:dyDescent="0.2">
      <c r="A18" s="380" t="s">
        <v>365</v>
      </c>
      <c r="B18" s="380"/>
      <c r="C18" s="380"/>
      <c r="D18" s="380"/>
      <c r="E18" s="380"/>
      <c r="F18" s="380"/>
      <c r="G18" s="380"/>
      <c r="H18" s="380"/>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
      <c r="A19" s="109"/>
      <c r="Q19" s="142"/>
    </row>
    <row r="20" spans="1:33" x14ac:dyDescent="0.2">
      <c r="A20" s="109"/>
      <c r="Q20" s="142"/>
    </row>
    <row r="21" spans="1:33" x14ac:dyDescent="0.2">
      <c r="A21" s="109"/>
      <c r="Q21" s="142"/>
    </row>
    <row r="22" spans="1:33" x14ac:dyDescent="0.2">
      <c r="A22" s="109"/>
      <c r="Q22" s="142"/>
    </row>
    <row r="23" spans="1:33" x14ac:dyDescent="0.2">
      <c r="D23" s="110"/>
      <c r="Q23" s="142"/>
    </row>
    <row r="24" spans="1:33" ht="16.5" thickBot="1" x14ac:dyDescent="0.25">
      <c r="A24" s="144" t="s">
        <v>262</v>
      </c>
      <c r="B24" s="111" t="s">
        <v>0</v>
      </c>
      <c r="D24" s="112"/>
      <c r="E24" s="113"/>
      <c r="F24" s="113"/>
      <c r="G24" s="113"/>
      <c r="H24" s="113"/>
    </row>
    <row r="25" spans="1:33" x14ac:dyDescent="0.2">
      <c r="A25" s="145" t="s">
        <v>400</v>
      </c>
      <c r="B25" s="127">
        <f>'6.2. Паспорт фин осв ввод'!C30*1000000</f>
        <v>1690974.84</v>
      </c>
    </row>
    <row r="26" spans="1:33" x14ac:dyDescent="0.2">
      <c r="A26" s="146" t="s">
        <v>260</v>
      </c>
      <c r="B26" s="147">
        <v>0</v>
      </c>
    </row>
    <row r="27" spans="1:33" x14ac:dyDescent="0.2">
      <c r="A27" s="146" t="s">
        <v>258</v>
      </c>
      <c r="B27" s="147">
        <v>30</v>
      </c>
      <c r="D27" s="110" t="s">
        <v>261</v>
      </c>
    </row>
    <row r="28" spans="1:33" ht="16.149999999999999" customHeight="1" thickBot="1" x14ac:dyDescent="0.25">
      <c r="A28" s="148" t="s">
        <v>256</v>
      </c>
      <c r="B28" s="114">
        <v>1</v>
      </c>
      <c r="D28" s="439" t="s">
        <v>259</v>
      </c>
      <c r="E28" s="440"/>
      <c r="F28" s="441"/>
      <c r="G28" s="451" t="str">
        <f>IF(SUM(B89:L89)=0,"не окупается",SUM(B89:L89))</f>
        <v>не окупается</v>
      </c>
      <c r="H28" s="452"/>
    </row>
    <row r="29" spans="1:33" ht="15.6" customHeight="1" x14ac:dyDescent="0.2">
      <c r="A29" s="145" t="s">
        <v>255</v>
      </c>
      <c r="B29" s="127">
        <f>B25*0.01</f>
        <v>16909.7484</v>
      </c>
      <c r="D29" s="439" t="s">
        <v>257</v>
      </c>
      <c r="E29" s="440"/>
      <c r="F29" s="441"/>
      <c r="G29" s="451" t="str">
        <f>IF(SUM(B90:L90)=0,"не окупается",SUM(B90:L90))</f>
        <v>не окупается</v>
      </c>
      <c r="H29" s="452"/>
    </row>
    <row r="30" spans="1:33" ht="27.6" customHeight="1" x14ac:dyDescent="0.2">
      <c r="A30" s="146" t="s">
        <v>401</v>
      </c>
      <c r="B30" s="147">
        <v>1</v>
      </c>
      <c r="D30" s="439" t="s">
        <v>415</v>
      </c>
      <c r="E30" s="440"/>
      <c r="F30" s="441"/>
      <c r="G30" s="442">
        <f>L87</f>
        <v>-1814657.712704917</v>
      </c>
      <c r="H30" s="443"/>
    </row>
    <row r="31" spans="1:33" x14ac:dyDescent="0.2">
      <c r="A31" s="146" t="s">
        <v>254</v>
      </c>
      <c r="B31" s="147">
        <v>1</v>
      </c>
      <c r="D31" s="444"/>
      <c r="E31" s="445"/>
      <c r="F31" s="446"/>
      <c r="G31" s="444"/>
      <c r="H31" s="446"/>
    </row>
    <row r="32" spans="1:33" x14ac:dyDescent="0.2">
      <c r="A32" s="146" t="s">
        <v>233</v>
      </c>
      <c r="B32" s="147"/>
    </row>
    <row r="33" spans="1:32" x14ac:dyDescent="0.2">
      <c r="A33" s="146" t="s">
        <v>253</v>
      </c>
      <c r="B33" s="147"/>
    </row>
    <row r="34" spans="1:32" x14ac:dyDescent="0.2">
      <c r="A34" s="146" t="s">
        <v>252</v>
      </c>
      <c r="B34" s="147"/>
    </row>
    <row r="35" spans="1:32" x14ac:dyDescent="0.2">
      <c r="A35" s="149"/>
      <c r="B35" s="147"/>
    </row>
    <row r="36" spans="1:32" ht="16.5" thickBot="1" x14ac:dyDescent="0.25">
      <c r="A36" s="148" t="s">
        <v>227</v>
      </c>
      <c r="B36" s="115">
        <v>0.2</v>
      </c>
    </row>
    <row r="37" spans="1:32" x14ac:dyDescent="0.2">
      <c r="A37" s="145" t="s">
        <v>399</v>
      </c>
      <c r="B37" s="127">
        <v>0</v>
      </c>
    </row>
    <row r="38" spans="1:32" x14ac:dyDescent="0.2">
      <c r="A38" s="146" t="s">
        <v>251</v>
      </c>
      <c r="B38" s="147"/>
    </row>
    <row r="39" spans="1:32" ht="16.5" thickBot="1" x14ac:dyDescent="0.25">
      <c r="A39" s="150" t="s">
        <v>250</v>
      </c>
      <c r="B39" s="151"/>
    </row>
    <row r="40" spans="1:32" x14ac:dyDescent="0.2">
      <c r="A40" s="152" t="s">
        <v>402</v>
      </c>
      <c r="B40" s="116">
        <v>1</v>
      </c>
    </row>
    <row r="41" spans="1:32" x14ac:dyDescent="0.2">
      <c r="A41" s="153" t="s">
        <v>249</v>
      </c>
      <c r="B41" s="117"/>
    </row>
    <row r="42" spans="1:32" x14ac:dyDescent="0.2">
      <c r="A42" s="153" t="s">
        <v>248</v>
      </c>
      <c r="B42" s="118"/>
    </row>
    <row r="43" spans="1:32" x14ac:dyDescent="0.2">
      <c r="A43" s="153" t="s">
        <v>247</v>
      </c>
      <c r="B43" s="118">
        <v>0</v>
      </c>
    </row>
    <row r="44" spans="1:32" x14ac:dyDescent="0.2">
      <c r="A44" s="153" t="s">
        <v>246</v>
      </c>
      <c r="B44" s="118">
        <v>0.13</v>
      </c>
    </row>
    <row r="45" spans="1:32" x14ac:dyDescent="0.2">
      <c r="A45" s="153" t="s">
        <v>245</v>
      </c>
      <c r="B45" s="118">
        <f>1-B43</f>
        <v>1</v>
      </c>
    </row>
    <row r="46" spans="1:32" ht="16.5" thickBot="1" x14ac:dyDescent="0.25">
      <c r="A46" s="154" t="s">
        <v>416</v>
      </c>
      <c r="B46" s="155">
        <f>B45*B44+B43*B42*(1-B36)</f>
        <v>0.13</v>
      </c>
      <c r="C46" s="119"/>
    </row>
    <row r="47" spans="1:32" s="157" customFormat="1" x14ac:dyDescent="0.2">
      <c r="A47" s="156" t="s">
        <v>244</v>
      </c>
      <c r="B47" s="120">
        <f>B58</f>
        <v>1</v>
      </c>
      <c r="C47" s="120">
        <f t="shared" ref="C47:AF47" si="0">C58</f>
        <v>2</v>
      </c>
      <c r="D47" s="120">
        <f t="shared" si="0"/>
        <v>3</v>
      </c>
      <c r="E47" s="120">
        <f t="shared" si="0"/>
        <v>4</v>
      </c>
      <c r="F47" s="120">
        <f t="shared" si="0"/>
        <v>5</v>
      </c>
      <c r="G47" s="120">
        <f t="shared" si="0"/>
        <v>6</v>
      </c>
      <c r="H47" s="120">
        <f t="shared" si="0"/>
        <v>7</v>
      </c>
      <c r="I47" s="120">
        <f t="shared" si="0"/>
        <v>8</v>
      </c>
      <c r="J47" s="120">
        <f t="shared" si="0"/>
        <v>9</v>
      </c>
      <c r="K47" s="120">
        <f t="shared" si="0"/>
        <v>10</v>
      </c>
      <c r="L47" s="120">
        <f t="shared" si="0"/>
        <v>11</v>
      </c>
      <c r="M47" s="120">
        <f t="shared" si="0"/>
        <v>12</v>
      </c>
      <c r="N47" s="120">
        <f t="shared" si="0"/>
        <v>13</v>
      </c>
      <c r="O47" s="120">
        <f t="shared" si="0"/>
        <v>14</v>
      </c>
      <c r="P47" s="120">
        <f t="shared" si="0"/>
        <v>15</v>
      </c>
      <c r="Q47" s="120">
        <f t="shared" si="0"/>
        <v>16</v>
      </c>
      <c r="R47" s="120">
        <f t="shared" si="0"/>
        <v>17</v>
      </c>
      <c r="S47" s="120">
        <f t="shared" si="0"/>
        <v>18</v>
      </c>
      <c r="T47" s="120">
        <f t="shared" si="0"/>
        <v>19</v>
      </c>
      <c r="U47" s="120">
        <f t="shared" si="0"/>
        <v>20</v>
      </c>
      <c r="V47" s="120">
        <f t="shared" si="0"/>
        <v>21</v>
      </c>
      <c r="W47" s="120">
        <f t="shared" si="0"/>
        <v>22</v>
      </c>
      <c r="X47" s="120">
        <f t="shared" si="0"/>
        <v>23</v>
      </c>
      <c r="Y47" s="120">
        <f t="shared" si="0"/>
        <v>24</v>
      </c>
      <c r="Z47" s="120">
        <f t="shared" si="0"/>
        <v>25</v>
      </c>
      <c r="AA47" s="120">
        <f t="shared" si="0"/>
        <v>26</v>
      </c>
      <c r="AB47" s="120">
        <f t="shared" si="0"/>
        <v>27</v>
      </c>
      <c r="AC47" s="120">
        <f t="shared" si="0"/>
        <v>28</v>
      </c>
      <c r="AD47" s="120">
        <f t="shared" si="0"/>
        <v>29</v>
      </c>
      <c r="AE47" s="120">
        <f t="shared" si="0"/>
        <v>30</v>
      </c>
      <c r="AF47" s="120">
        <f t="shared" si="0"/>
        <v>31</v>
      </c>
    </row>
    <row r="48" spans="1:32" s="157" customFormat="1" x14ac:dyDescent="0.2">
      <c r="A48" s="158" t="s">
        <v>243</v>
      </c>
      <c r="B48" s="159">
        <f>C129</f>
        <v>4.9001762230179997E-2</v>
      </c>
      <c r="C48" s="159">
        <f t="shared" ref="C48:AF48" si="1">D129</f>
        <v>4.7000273037249997E-2</v>
      </c>
      <c r="D48" s="159">
        <f t="shared" si="1"/>
        <v>4.7000273037249997E-2</v>
      </c>
      <c r="E48" s="159">
        <f t="shared" si="1"/>
        <v>4.7000273037249997E-2</v>
      </c>
      <c r="F48" s="159">
        <f t="shared" si="1"/>
        <v>4.7000273037249997E-2</v>
      </c>
      <c r="G48" s="159">
        <f t="shared" si="1"/>
        <v>4.7000273037249997E-2</v>
      </c>
      <c r="H48" s="159">
        <f t="shared" si="1"/>
        <v>4.7000273037249997E-2</v>
      </c>
      <c r="I48" s="159">
        <f t="shared" si="1"/>
        <v>4.7000273037249997E-2</v>
      </c>
      <c r="J48" s="159">
        <f t="shared" si="1"/>
        <v>4.7000273037249997E-2</v>
      </c>
      <c r="K48" s="159">
        <f t="shared" si="1"/>
        <v>4.7000273037249997E-2</v>
      </c>
      <c r="L48" s="159">
        <f t="shared" si="1"/>
        <v>4.7000273037249997E-2</v>
      </c>
      <c r="M48" s="159">
        <f t="shared" si="1"/>
        <v>4.7000273037249997E-2</v>
      </c>
      <c r="N48" s="159">
        <f t="shared" si="1"/>
        <v>4.7000273037249997E-2</v>
      </c>
      <c r="O48" s="159">
        <f t="shared" si="1"/>
        <v>4.7000273037249997E-2</v>
      </c>
      <c r="P48" s="159">
        <f t="shared" si="1"/>
        <v>4.7000273037249997E-2</v>
      </c>
      <c r="Q48" s="159">
        <f t="shared" si="1"/>
        <v>4.7000273037249997E-2</v>
      </c>
      <c r="R48" s="159">
        <f t="shared" si="1"/>
        <v>4.7000273037249997E-2</v>
      </c>
      <c r="S48" s="159">
        <f t="shared" si="1"/>
        <v>4.7000273037249997E-2</v>
      </c>
      <c r="T48" s="159">
        <f t="shared" si="1"/>
        <v>4.7000273037249997E-2</v>
      </c>
      <c r="U48" s="159">
        <f t="shared" si="1"/>
        <v>4.7000273037249997E-2</v>
      </c>
      <c r="V48" s="159">
        <f t="shared" si="1"/>
        <v>4.7000273037249997E-2</v>
      </c>
      <c r="W48" s="159">
        <f t="shared" si="1"/>
        <v>4.7000273037249997E-2</v>
      </c>
      <c r="X48" s="159">
        <f t="shared" si="1"/>
        <v>4.7000273037249997E-2</v>
      </c>
      <c r="Y48" s="159">
        <f t="shared" si="1"/>
        <v>4.7000273037249997E-2</v>
      </c>
      <c r="Z48" s="159">
        <f t="shared" si="1"/>
        <v>4.7000273037249997E-2</v>
      </c>
      <c r="AA48" s="159">
        <f t="shared" si="1"/>
        <v>4.7000273037249997E-2</v>
      </c>
      <c r="AB48" s="159">
        <f t="shared" si="1"/>
        <v>4.7000273037249997E-2</v>
      </c>
      <c r="AC48" s="159">
        <f t="shared" si="1"/>
        <v>4.7000273037249997E-2</v>
      </c>
      <c r="AD48" s="159">
        <f t="shared" si="1"/>
        <v>4.7000273037249997E-2</v>
      </c>
      <c r="AE48" s="159">
        <f t="shared" si="1"/>
        <v>4.7000273037249997E-2</v>
      </c>
      <c r="AF48" s="159">
        <f t="shared" si="1"/>
        <v>4.7000273037249997E-2</v>
      </c>
    </row>
    <row r="49" spans="1:33" s="157" customFormat="1" x14ac:dyDescent="0.2">
      <c r="A49" s="158" t="s">
        <v>242</v>
      </c>
      <c r="B49" s="159">
        <f>C130</f>
        <v>0.10250459143275026</v>
      </c>
      <c r="C49" s="159">
        <f t="shared" ref="C49:AF49" si="2">D130</f>
        <v>0.1543226082549114</v>
      </c>
      <c r="D49" s="159">
        <f t="shared" si="2"/>
        <v>0.20857608601596289</v>
      </c>
      <c r="E49" s="159">
        <f t="shared" si="2"/>
        <v>0.26537949204500411</v>
      </c>
      <c r="F49" s="159">
        <f t="shared" si="2"/>
        <v>0.324852673666856</v>
      </c>
      <c r="G49" s="159">
        <f t="shared" si="2"/>
        <v>0.38712111106332903</v>
      </c>
      <c r="H49" s="159">
        <f t="shared" si="2"/>
        <v>0.45231618201903911</v>
      </c>
      <c r="I49" s="159">
        <f t="shared" si="2"/>
        <v>0.52057543911035054</v>
      </c>
      <c r="J49" s="159">
        <f t="shared" si="2"/>
        <v>0.59204289992227332</v>
      </c>
      <c r="K49" s="159">
        <f t="shared" si="2"/>
        <v>0.66686935090563559</v>
      </c>
      <c r="L49" s="159">
        <f t="shared" si="2"/>
        <v>0.74521266551562437</v>
      </c>
      <c r="M49" s="159">
        <f t="shared" si="2"/>
        <v>0.82723813730292561</v>
      </c>
      <c r="N49" s="159">
        <f t="shared" si="2"/>
        <v>0.91311882866023941</v>
      </c>
      <c r="O49" s="159">
        <f t="shared" si="2"/>
        <v>1.0030359359599745</v>
      </c>
      <c r="P49" s="159">
        <f t="shared" si="2"/>
        <v>1.0971791718535169</v>
      </c>
      <c r="Q49" s="159">
        <f t="shared" si="2"/>
        <v>1.1957471655386662</v>
      </c>
      <c r="R49" s="159">
        <f t="shared" si="2"/>
        <v>1.2989478818397515</v>
      </c>
      <c r="S49" s="159">
        <f t="shared" si="2"/>
        <v>1.4069990599846274</v>
      </c>
      <c r="T49" s="159">
        <f t="shared" si="2"/>
        <v>1.5201286730043093</v>
      </c>
      <c r="U49" s="159">
        <f t="shared" si="2"/>
        <v>1.6385754087245146</v>
      </c>
      <c r="V49" s="159">
        <f t="shared" si="2"/>
        <v>1.7625891733639403</v>
      </c>
      <c r="W49" s="159">
        <f t="shared" si="2"/>
        <v>1.8924316188017967</v>
      </c>
      <c r="X49" s="159">
        <f t="shared" si="2"/>
        <v>2.0283766946270565</v>
      </c>
      <c r="Y49" s="159">
        <f t="shared" si="2"/>
        <v>2.170711226134173</v>
      </c>
      <c r="Z49" s="159">
        <f t="shared" si="2"/>
        <v>2.3197355194847531</v>
      </c>
      <c r="AA49" s="159">
        <f t="shared" si="2"/>
        <v>2.4757639953119939</v>
      </c>
      <c r="AB49" s="159">
        <f t="shared" si="2"/>
        <v>2.639125852104701</v>
      </c>
      <c r="AC49" s="159">
        <f t="shared" si="2"/>
        <v>2.8101657607705373</v>
      </c>
      <c r="AD49" s="159">
        <f t="shared" si="2"/>
        <v>2.9892445918439341</v>
      </c>
      <c r="AE49" s="159">
        <f t="shared" si="2"/>
        <v>3.1767401768729719</v>
      </c>
      <c r="AF49" s="159">
        <f t="shared" si="2"/>
        <v>3.3730481055916535</v>
      </c>
    </row>
    <row r="50" spans="1:33" s="157" customFormat="1" ht="16.5" thickBot="1" x14ac:dyDescent="0.25">
      <c r="A50" s="160" t="s">
        <v>403</v>
      </c>
      <c r="B50" s="121">
        <f>IF($B$117="да",($B$119-0.05),0)</f>
        <v>0</v>
      </c>
      <c r="C50" s="121">
        <f t="shared" ref="C50:AF50" si="3">C101*(1+C49)</f>
        <v>0</v>
      </c>
      <c r="D50" s="121">
        <f t="shared" si="3"/>
        <v>0</v>
      </c>
      <c r="E50" s="121">
        <f t="shared" si="3"/>
        <v>0</v>
      </c>
      <c r="F50" s="121">
        <f t="shared" si="3"/>
        <v>0</v>
      </c>
      <c r="G50" s="121">
        <f t="shared" si="3"/>
        <v>0</v>
      </c>
      <c r="H50" s="121">
        <f t="shared" si="3"/>
        <v>0</v>
      </c>
      <c r="I50" s="121">
        <f t="shared" si="3"/>
        <v>0</v>
      </c>
      <c r="J50" s="121">
        <f t="shared" si="3"/>
        <v>0</v>
      </c>
      <c r="K50" s="121">
        <f t="shared" si="3"/>
        <v>0</v>
      </c>
      <c r="L50" s="121">
        <f t="shared" si="3"/>
        <v>0</v>
      </c>
      <c r="M50" s="121">
        <f t="shared" si="3"/>
        <v>0</v>
      </c>
      <c r="N50" s="121">
        <f t="shared" si="3"/>
        <v>0</v>
      </c>
      <c r="O50" s="121">
        <f t="shared" si="3"/>
        <v>0</v>
      </c>
      <c r="P50" s="121">
        <f t="shared" si="3"/>
        <v>0</v>
      </c>
      <c r="Q50" s="121">
        <f t="shared" si="3"/>
        <v>0</v>
      </c>
      <c r="R50" s="121">
        <f t="shared" si="3"/>
        <v>0</v>
      </c>
      <c r="S50" s="121">
        <f t="shared" si="3"/>
        <v>0</v>
      </c>
      <c r="T50" s="121">
        <f t="shared" si="3"/>
        <v>0</v>
      </c>
      <c r="U50" s="121">
        <f t="shared" si="3"/>
        <v>0</v>
      </c>
      <c r="V50" s="121">
        <f t="shared" si="3"/>
        <v>0</v>
      </c>
      <c r="W50" s="121">
        <f t="shared" si="3"/>
        <v>0</v>
      </c>
      <c r="X50" s="121">
        <f t="shared" si="3"/>
        <v>0</v>
      </c>
      <c r="Y50" s="121">
        <f t="shared" si="3"/>
        <v>0</v>
      </c>
      <c r="Z50" s="121">
        <f t="shared" si="3"/>
        <v>0</v>
      </c>
      <c r="AA50" s="121">
        <f t="shared" si="3"/>
        <v>0</v>
      </c>
      <c r="AB50" s="121">
        <f t="shared" si="3"/>
        <v>0</v>
      </c>
      <c r="AC50" s="121">
        <f t="shared" si="3"/>
        <v>0</v>
      </c>
      <c r="AD50" s="121">
        <f t="shared" si="3"/>
        <v>0</v>
      </c>
      <c r="AE50" s="121">
        <f t="shared" si="3"/>
        <v>0</v>
      </c>
      <c r="AF50" s="121">
        <f t="shared" si="3"/>
        <v>0</v>
      </c>
    </row>
    <row r="51" spans="1:33" ht="16.5" thickBot="1" x14ac:dyDescent="0.25">
      <c r="AG51" s="108"/>
    </row>
    <row r="52" spans="1:33" x14ac:dyDescent="0.2">
      <c r="A52" s="161" t="s">
        <v>241</v>
      </c>
      <c r="B52" s="162">
        <f>B58</f>
        <v>1</v>
      </c>
      <c r="C52" s="162">
        <f t="shared" ref="C52:AF52" si="4">C58</f>
        <v>2</v>
      </c>
      <c r="D52" s="162">
        <f t="shared" si="4"/>
        <v>3</v>
      </c>
      <c r="E52" s="162">
        <f t="shared" si="4"/>
        <v>4</v>
      </c>
      <c r="F52" s="162">
        <f t="shared" si="4"/>
        <v>5</v>
      </c>
      <c r="G52" s="162">
        <f t="shared" si="4"/>
        <v>6</v>
      </c>
      <c r="H52" s="162">
        <f t="shared" si="4"/>
        <v>7</v>
      </c>
      <c r="I52" s="162">
        <f t="shared" si="4"/>
        <v>8</v>
      </c>
      <c r="J52" s="162">
        <f t="shared" si="4"/>
        <v>9</v>
      </c>
      <c r="K52" s="162">
        <f t="shared" si="4"/>
        <v>10</v>
      </c>
      <c r="L52" s="162">
        <f t="shared" si="4"/>
        <v>11</v>
      </c>
      <c r="M52" s="162">
        <f t="shared" si="4"/>
        <v>12</v>
      </c>
      <c r="N52" s="162">
        <f t="shared" si="4"/>
        <v>13</v>
      </c>
      <c r="O52" s="162">
        <f t="shared" si="4"/>
        <v>14</v>
      </c>
      <c r="P52" s="162">
        <f t="shared" si="4"/>
        <v>15</v>
      </c>
      <c r="Q52" s="162">
        <f t="shared" si="4"/>
        <v>16</v>
      </c>
      <c r="R52" s="162">
        <f t="shared" si="4"/>
        <v>17</v>
      </c>
      <c r="S52" s="162">
        <f t="shared" si="4"/>
        <v>18</v>
      </c>
      <c r="T52" s="162">
        <f t="shared" si="4"/>
        <v>19</v>
      </c>
      <c r="U52" s="162">
        <f t="shared" si="4"/>
        <v>20</v>
      </c>
      <c r="V52" s="162">
        <f t="shared" si="4"/>
        <v>21</v>
      </c>
      <c r="W52" s="162">
        <f t="shared" si="4"/>
        <v>22</v>
      </c>
      <c r="X52" s="162">
        <f t="shared" si="4"/>
        <v>23</v>
      </c>
      <c r="Y52" s="162">
        <f t="shared" si="4"/>
        <v>24</v>
      </c>
      <c r="Z52" s="162">
        <f t="shared" si="4"/>
        <v>25</v>
      </c>
      <c r="AA52" s="162">
        <f t="shared" si="4"/>
        <v>26</v>
      </c>
      <c r="AB52" s="162">
        <f t="shared" si="4"/>
        <v>27</v>
      </c>
      <c r="AC52" s="162">
        <f t="shared" si="4"/>
        <v>28</v>
      </c>
      <c r="AD52" s="162">
        <f t="shared" si="4"/>
        <v>29</v>
      </c>
      <c r="AE52" s="162">
        <f t="shared" si="4"/>
        <v>30</v>
      </c>
      <c r="AF52" s="162">
        <f t="shared" si="4"/>
        <v>31</v>
      </c>
      <c r="AG52" s="108"/>
    </row>
    <row r="53" spans="1:33" x14ac:dyDescent="0.2">
      <c r="A53" s="163" t="s">
        <v>240</v>
      </c>
      <c r="B53" s="164">
        <v>0</v>
      </c>
      <c r="C53" s="164">
        <f t="shared" ref="C53:AF53" si="5">B53+B54-B55</f>
        <v>0</v>
      </c>
      <c r="D53" s="164">
        <f t="shared" si="5"/>
        <v>0</v>
      </c>
      <c r="E53" s="164">
        <f t="shared" si="5"/>
        <v>0</v>
      </c>
      <c r="F53" s="164">
        <f t="shared" si="5"/>
        <v>0</v>
      </c>
      <c r="G53" s="164">
        <f t="shared" si="5"/>
        <v>0</v>
      </c>
      <c r="H53" s="164">
        <f t="shared" si="5"/>
        <v>0</v>
      </c>
      <c r="I53" s="164">
        <f t="shared" si="5"/>
        <v>0</v>
      </c>
      <c r="J53" s="164">
        <f t="shared" si="5"/>
        <v>0</v>
      </c>
      <c r="K53" s="164">
        <f t="shared" si="5"/>
        <v>0</v>
      </c>
      <c r="L53" s="164">
        <f t="shared" si="5"/>
        <v>0</v>
      </c>
      <c r="M53" s="164">
        <f t="shared" si="5"/>
        <v>0</v>
      </c>
      <c r="N53" s="164">
        <f t="shared" si="5"/>
        <v>0</v>
      </c>
      <c r="O53" s="164">
        <f t="shared" si="5"/>
        <v>0</v>
      </c>
      <c r="P53" s="164">
        <f t="shared" si="5"/>
        <v>0</v>
      </c>
      <c r="Q53" s="164">
        <f t="shared" si="5"/>
        <v>0</v>
      </c>
      <c r="R53" s="164">
        <f t="shared" si="5"/>
        <v>0</v>
      </c>
      <c r="S53" s="164">
        <f t="shared" si="5"/>
        <v>0</v>
      </c>
      <c r="T53" s="164">
        <f t="shared" si="5"/>
        <v>0</v>
      </c>
      <c r="U53" s="164">
        <f t="shared" si="5"/>
        <v>0</v>
      </c>
      <c r="V53" s="164">
        <f t="shared" si="5"/>
        <v>0</v>
      </c>
      <c r="W53" s="164">
        <f t="shared" si="5"/>
        <v>0</v>
      </c>
      <c r="X53" s="164">
        <f t="shared" si="5"/>
        <v>0</v>
      </c>
      <c r="Y53" s="164">
        <f t="shared" si="5"/>
        <v>0</v>
      </c>
      <c r="Z53" s="164">
        <f t="shared" si="5"/>
        <v>0</v>
      </c>
      <c r="AA53" s="164">
        <f t="shared" si="5"/>
        <v>0</v>
      </c>
      <c r="AB53" s="164">
        <f t="shared" si="5"/>
        <v>0</v>
      </c>
      <c r="AC53" s="164">
        <f t="shared" si="5"/>
        <v>0</v>
      </c>
      <c r="AD53" s="164">
        <f t="shared" si="5"/>
        <v>0</v>
      </c>
      <c r="AE53" s="164">
        <f t="shared" si="5"/>
        <v>0</v>
      </c>
      <c r="AF53" s="164">
        <f t="shared" si="5"/>
        <v>0</v>
      </c>
      <c r="AG53" s="108"/>
    </row>
    <row r="54" spans="1:33" x14ac:dyDescent="0.2">
      <c r="A54" s="163" t="s">
        <v>239</v>
      </c>
      <c r="B54" s="164">
        <f>B25*B28*B43*1.18</f>
        <v>0</v>
      </c>
      <c r="C54" s="164">
        <v>0</v>
      </c>
      <c r="D54" s="164">
        <v>0</v>
      </c>
      <c r="E54" s="164">
        <v>0</v>
      </c>
      <c r="F54" s="164">
        <v>0</v>
      </c>
      <c r="G54" s="164">
        <v>0</v>
      </c>
      <c r="H54" s="164">
        <v>0</v>
      </c>
      <c r="I54" s="164">
        <v>0</v>
      </c>
      <c r="J54" s="164">
        <v>0</v>
      </c>
      <c r="K54" s="164">
        <v>0</v>
      </c>
      <c r="L54" s="164">
        <v>0</v>
      </c>
      <c r="M54" s="164">
        <v>0</v>
      </c>
      <c r="N54" s="164">
        <v>0</v>
      </c>
      <c r="O54" s="164">
        <v>0</v>
      </c>
      <c r="P54" s="164">
        <v>0</v>
      </c>
      <c r="Q54" s="164">
        <v>0</v>
      </c>
      <c r="R54" s="164">
        <v>0</v>
      </c>
      <c r="S54" s="164">
        <v>0</v>
      </c>
      <c r="T54" s="164">
        <v>0</v>
      </c>
      <c r="U54" s="164">
        <v>0</v>
      </c>
      <c r="V54" s="164">
        <v>0</v>
      </c>
      <c r="W54" s="164">
        <v>0</v>
      </c>
      <c r="X54" s="164">
        <v>0</v>
      </c>
      <c r="Y54" s="164">
        <v>0</v>
      </c>
      <c r="Z54" s="164">
        <v>0</v>
      </c>
      <c r="AA54" s="164">
        <v>0</v>
      </c>
      <c r="AB54" s="164">
        <v>0</v>
      </c>
      <c r="AC54" s="164">
        <v>0</v>
      </c>
      <c r="AD54" s="164">
        <v>0</v>
      </c>
      <c r="AE54" s="164">
        <v>0</v>
      </c>
      <c r="AF54" s="164">
        <v>0</v>
      </c>
      <c r="AG54" s="108"/>
    </row>
    <row r="55" spans="1:33" x14ac:dyDescent="0.2">
      <c r="A55" s="163" t="s">
        <v>238</v>
      </c>
      <c r="B55" s="164">
        <f>$B$54/$B$40</f>
        <v>0</v>
      </c>
      <c r="C55" s="164">
        <f t="shared" ref="C55:AF55" si="6">IF(ROUND(C53,1)=0,0,B55+C54/$B$40)</f>
        <v>0</v>
      </c>
      <c r="D55" s="164">
        <f t="shared" si="6"/>
        <v>0</v>
      </c>
      <c r="E55" s="164">
        <f t="shared" si="6"/>
        <v>0</v>
      </c>
      <c r="F55" s="164">
        <f t="shared" si="6"/>
        <v>0</v>
      </c>
      <c r="G55" s="164">
        <f t="shared" si="6"/>
        <v>0</v>
      </c>
      <c r="H55" s="164">
        <f t="shared" si="6"/>
        <v>0</v>
      </c>
      <c r="I55" s="164">
        <f t="shared" si="6"/>
        <v>0</v>
      </c>
      <c r="J55" s="164">
        <f t="shared" si="6"/>
        <v>0</v>
      </c>
      <c r="K55" s="164">
        <f t="shared" si="6"/>
        <v>0</v>
      </c>
      <c r="L55" s="164">
        <f t="shared" si="6"/>
        <v>0</v>
      </c>
      <c r="M55" s="164">
        <f t="shared" si="6"/>
        <v>0</v>
      </c>
      <c r="N55" s="164">
        <f t="shared" si="6"/>
        <v>0</v>
      </c>
      <c r="O55" s="164">
        <f t="shared" si="6"/>
        <v>0</v>
      </c>
      <c r="P55" s="164">
        <f t="shared" si="6"/>
        <v>0</v>
      </c>
      <c r="Q55" s="164">
        <f t="shared" si="6"/>
        <v>0</v>
      </c>
      <c r="R55" s="164">
        <f t="shared" si="6"/>
        <v>0</v>
      </c>
      <c r="S55" s="164">
        <f t="shared" si="6"/>
        <v>0</v>
      </c>
      <c r="T55" s="164">
        <f t="shared" si="6"/>
        <v>0</v>
      </c>
      <c r="U55" s="164">
        <f t="shared" si="6"/>
        <v>0</v>
      </c>
      <c r="V55" s="164">
        <f t="shared" si="6"/>
        <v>0</v>
      </c>
      <c r="W55" s="164">
        <f t="shared" si="6"/>
        <v>0</v>
      </c>
      <c r="X55" s="164">
        <f t="shared" si="6"/>
        <v>0</v>
      </c>
      <c r="Y55" s="164">
        <f t="shared" si="6"/>
        <v>0</v>
      </c>
      <c r="Z55" s="164">
        <f t="shared" si="6"/>
        <v>0</v>
      </c>
      <c r="AA55" s="164">
        <f t="shared" si="6"/>
        <v>0</v>
      </c>
      <c r="AB55" s="164">
        <f t="shared" si="6"/>
        <v>0</v>
      </c>
      <c r="AC55" s="164">
        <f t="shared" si="6"/>
        <v>0</v>
      </c>
      <c r="AD55" s="164">
        <f t="shared" si="6"/>
        <v>0</v>
      </c>
      <c r="AE55" s="164">
        <f t="shared" si="6"/>
        <v>0</v>
      </c>
      <c r="AF55" s="164">
        <f t="shared" si="6"/>
        <v>0</v>
      </c>
      <c r="AG55" s="108"/>
    </row>
    <row r="56" spans="1:33" ht="16.5" thickBot="1" x14ac:dyDescent="0.25">
      <c r="A56" s="165" t="s">
        <v>237</v>
      </c>
      <c r="B56" s="166">
        <f t="shared" ref="B56:AF56" si="7">AVERAGE(SUM(B53:B54),(SUM(B53:B54)-B55))*$B$42</f>
        <v>0</v>
      </c>
      <c r="C56" s="166">
        <f t="shared" si="7"/>
        <v>0</v>
      </c>
      <c r="D56" s="166">
        <f t="shared" si="7"/>
        <v>0</v>
      </c>
      <c r="E56" s="166">
        <f t="shared" si="7"/>
        <v>0</v>
      </c>
      <c r="F56" s="166">
        <f t="shared" si="7"/>
        <v>0</v>
      </c>
      <c r="G56" s="166">
        <f t="shared" si="7"/>
        <v>0</v>
      </c>
      <c r="H56" s="166">
        <f t="shared" si="7"/>
        <v>0</v>
      </c>
      <c r="I56" s="166">
        <f t="shared" si="7"/>
        <v>0</v>
      </c>
      <c r="J56" s="166">
        <f t="shared" si="7"/>
        <v>0</v>
      </c>
      <c r="K56" s="166">
        <f t="shared" si="7"/>
        <v>0</v>
      </c>
      <c r="L56" s="166">
        <f t="shared" si="7"/>
        <v>0</v>
      </c>
      <c r="M56" s="166">
        <f t="shared" si="7"/>
        <v>0</v>
      </c>
      <c r="N56" s="166">
        <f t="shared" si="7"/>
        <v>0</v>
      </c>
      <c r="O56" s="166">
        <f t="shared" si="7"/>
        <v>0</v>
      </c>
      <c r="P56" s="166">
        <f t="shared" si="7"/>
        <v>0</v>
      </c>
      <c r="Q56" s="166">
        <f t="shared" si="7"/>
        <v>0</v>
      </c>
      <c r="R56" s="166">
        <f t="shared" si="7"/>
        <v>0</v>
      </c>
      <c r="S56" s="166">
        <f t="shared" si="7"/>
        <v>0</v>
      </c>
      <c r="T56" s="166">
        <f t="shared" si="7"/>
        <v>0</v>
      </c>
      <c r="U56" s="166">
        <f t="shared" si="7"/>
        <v>0</v>
      </c>
      <c r="V56" s="166">
        <f t="shared" si="7"/>
        <v>0</v>
      </c>
      <c r="W56" s="166">
        <f t="shared" si="7"/>
        <v>0</v>
      </c>
      <c r="X56" s="166">
        <f t="shared" si="7"/>
        <v>0</v>
      </c>
      <c r="Y56" s="166">
        <f t="shared" si="7"/>
        <v>0</v>
      </c>
      <c r="Z56" s="166">
        <f t="shared" si="7"/>
        <v>0</v>
      </c>
      <c r="AA56" s="166">
        <f t="shared" si="7"/>
        <v>0</v>
      </c>
      <c r="AB56" s="166">
        <f t="shared" si="7"/>
        <v>0</v>
      </c>
      <c r="AC56" s="166">
        <f t="shared" si="7"/>
        <v>0</v>
      </c>
      <c r="AD56" s="166">
        <f t="shared" si="7"/>
        <v>0</v>
      </c>
      <c r="AE56" s="166">
        <f t="shared" si="7"/>
        <v>0</v>
      </c>
      <c r="AF56" s="166">
        <f t="shared" si="7"/>
        <v>0</v>
      </c>
      <c r="AG56" s="108"/>
    </row>
    <row r="57" spans="1:33" s="169" customFormat="1" ht="16.5" thickBot="1" x14ac:dyDescent="0.25">
      <c r="A57" s="167"/>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row>
    <row r="58" spans="1:33" x14ac:dyDescent="0.2">
      <c r="A58" s="161" t="s">
        <v>404</v>
      </c>
      <c r="B58" s="162">
        <v>1</v>
      </c>
      <c r="C58" s="162">
        <f>B58+1</f>
        <v>2</v>
      </c>
      <c r="D58" s="162">
        <f t="shared" ref="D58:AF58" si="8">C58+1</f>
        <v>3</v>
      </c>
      <c r="E58" s="162">
        <f t="shared" si="8"/>
        <v>4</v>
      </c>
      <c r="F58" s="162">
        <f t="shared" si="8"/>
        <v>5</v>
      </c>
      <c r="G58" s="162">
        <f t="shared" si="8"/>
        <v>6</v>
      </c>
      <c r="H58" s="162">
        <f t="shared" si="8"/>
        <v>7</v>
      </c>
      <c r="I58" s="162">
        <f t="shared" si="8"/>
        <v>8</v>
      </c>
      <c r="J58" s="162">
        <f t="shared" si="8"/>
        <v>9</v>
      </c>
      <c r="K58" s="162">
        <f t="shared" si="8"/>
        <v>10</v>
      </c>
      <c r="L58" s="162">
        <f t="shared" si="8"/>
        <v>11</v>
      </c>
      <c r="M58" s="162">
        <f t="shared" si="8"/>
        <v>12</v>
      </c>
      <c r="N58" s="162">
        <f t="shared" si="8"/>
        <v>13</v>
      </c>
      <c r="O58" s="162">
        <f t="shared" si="8"/>
        <v>14</v>
      </c>
      <c r="P58" s="162">
        <f t="shared" si="8"/>
        <v>15</v>
      </c>
      <c r="Q58" s="162">
        <f t="shared" si="8"/>
        <v>16</v>
      </c>
      <c r="R58" s="162">
        <f t="shared" si="8"/>
        <v>17</v>
      </c>
      <c r="S58" s="162">
        <f t="shared" si="8"/>
        <v>18</v>
      </c>
      <c r="T58" s="162">
        <f t="shared" si="8"/>
        <v>19</v>
      </c>
      <c r="U58" s="162">
        <f t="shared" si="8"/>
        <v>20</v>
      </c>
      <c r="V58" s="162">
        <f t="shared" si="8"/>
        <v>21</v>
      </c>
      <c r="W58" s="162">
        <f t="shared" si="8"/>
        <v>22</v>
      </c>
      <c r="X58" s="162">
        <f t="shared" si="8"/>
        <v>23</v>
      </c>
      <c r="Y58" s="162">
        <f t="shared" si="8"/>
        <v>24</v>
      </c>
      <c r="Z58" s="162">
        <f t="shared" si="8"/>
        <v>25</v>
      </c>
      <c r="AA58" s="162">
        <f t="shared" si="8"/>
        <v>26</v>
      </c>
      <c r="AB58" s="162">
        <f t="shared" si="8"/>
        <v>27</v>
      </c>
      <c r="AC58" s="162">
        <f t="shared" si="8"/>
        <v>28</v>
      </c>
      <c r="AD58" s="162">
        <f t="shared" si="8"/>
        <v>29</v>
      </c>
      <c r="AE58" s="162">
        <f t="shared" si="8"/>
        <v>30</v>
      </c>
      <c r="AF58" s="162">
        <f t="shared" si="8"/>
        <v>31</v>
      </c>
      <c r="AG58" s="108"/>
    </row>
    <row r="59" spans="1:33" ht="14.25" x14ac:dyDescent="0.2">
      <c r="A59" s="170" t="s">
        <v>236</v>
      </c>
      <c r="B59" s="171">
        <f t="shared" ref="B59:AF59" si="9">B50*$B$28</f>
        <v>0</v>
      </c>
      <c r="C59" s="171">
        <f t="shared" si="9"/>
        <v>0</v>
      </c>
      <c r="D59" s="171">
        <f t="shared" si="9"/>
        <v>0</v>
      </c>
      <c r="E59" s="171">
        <f t="shared" si="9"/>
        <v>0</v>
      </c>
      <c r="F59" s="171">
        <f t="shared" si="9"/>
        <v>0</v>
      </c>
      <c r="G59" s="171">
        <f t="shared" si="9"/>
        <v>0</v>
      </c>
      <c r="H59" s="171">
        <f t="shared" si="9"/>
        <v>0</v>
      </c>
      <c r="I59" s="171">
        <f t="shared" si="9"/>
        <v>0</v>
      </c>
      <c r="J59" s="171">
        <f t="shared" si="9"/>
        <v>0</v>
      </c>
      <c r="K59" s="171">
        <f t="shared" si="9"/>
        <v>0</v>
      </c>
      <c r="L59" s="171">
        <f t="shared" si="9"/>
        <v>0</v>
      </c>
      <c r="M59" s="171">
        <f t="shared" si="9"/>
        <v>0</v>
      </c>
      <c r="N59" s="171">
        <f t="shared" si="9"/>
        <v>0</v>
      </c>
      <c r="O59" s="171">
        <f t="shared" si="9"/>
        <v>0</v>
      </c>
      <c r="P59" s="171">
        <f t="shared" si="9"/>
        <v>0</v>
      </c>
      <c r="Q59" s="171">
        <f t="shared" si="9"/>
        <v>0</v>
      </c>
      <c r="R59" s="171">
        <f t="shared" si="9"/>
        <v>0</v>
      </c>
      <c r="S59" s="171">
        <f t="shared" si="9"/>
        <v>0</v>
      </c>
      <c r="T59" s="171">
        <f t="shared" si="9"/>
        <v>0</v>
      </c>
      <c r="U59" s="171">
        <f t="shared" si="9"/>
        <v>0</v>
      </c>
      <c r="V59" s="171">
        <f t="shared" si="9"/>
        <v>0</v>
      </c>
      <c r="W59" s="171">
        <f t="shared" si="9"/>
        <v>0</v>
      </c>
      <c r="X59" s="171">
        <f t="shared" si="9"/>
        <v>0</v>
      </c>
      <c r="Y59" s="171">
        <f t="shared" si="9"/>
        <v>0</v>
      </c>
      <c r="Z59" s="171">
        <f t="shared" si="9"/>
        <v>0</v>
      </c>
      <c r="AA59" s="171">
        <f t="shared" si="9"/>
        <v>0</v>
      </c>
      <c r="AB59" s="171">
        <f t="shared" si="9"/>
        <v>0</v>
      </c>
      <c r="AC59" s="171">
        <f t="shared" si="9"/>
        <v>0</v>
      </c>
      <c r="AD59" s="171">
        <f t="shared" si="9"/>
        <v>0</v>
      </c>
      <c r="AE59" s="171">
        <f t="shared" si="9"/>
        <v>0</v>
      </c>
      <c r="AF59" s="171">
        <f t="shared" si="9"/>
        <v>0</v>
      </c>
      <c r="AG59" s="108"/>
    </row>
    <row r="60" spans="1:33" x14ac:dyDescent="0.2">
      <c r="A60" s="163" t="s">
        <v>235</v>
      </c>
      <c r="B60" s="164">
        <f t="shared" ref="B60:Z60" si="10">SUM(B61:B65)</f>
        <v>0</v>
      </c>
      <c r="C60" s="164">
        <f t="shared" si="10"/>
        <v>-19519.304878022314</v>
      </c>
      <c r="D60" s="164">
        <f>SUM(D61:D65)</f>
        <v>-20436.717536786691</v>
      </c>
      <c r="E60" s="164">
        <f t="shared" si="10"/>
        <v>-21397.248841000823</v>
      </c>
      <c r="F60" s="164">
        <f t="shared" si="10"/>
        <v>-22402.925378773842</v>
      </c>
      <c r="G60" s="164">
        <f t="shared" si="10"/>
        <v>-23455.868988409351</v>
      </c>
      <c r="H60" s="164">
        <f t="shared" si="10"/>
        <v>-24558.301235190556</v>
      </c>
      <c r="I60" s="164">
        <f t="shared" si="10"/>
        <v>-25712.548098575549</v>
      </c>
      <c r="J60" s="164">
        <f t="shared" si="10"/>
        <v>-26921.044879692021</v>
      </c>
      <c r="K60" s="164">
        <f t="shared" si="10"/>
        <v>-28186.341339485611</v>
      </c>
      <c r="L60" s="164">
        <f t="shared" si="10"/>
        <v>-29511.107078362566</v>
      </c>
      <c r="M60" s="164">
        <f t="shared" si="10"/>
        <v>-30898.137168677127</v>
      </c>
      <c r="N60" s="164">
        <f t="shared" si="10"/>
        <v>-32350.358051947358</v>
      </c>
      <c r="O60" s="164">
        <f t="shared" si="10"/>
        <v>-33870.833713241685</v>
      </c>
      <c r="P60" s="164">
        <f t="shared" si="10"/>
        <v>-35462.772145763331</v>
      </c>
      <c r="Q60" s="164">
        <f t="shared" si="10"/>
        <v>-37129.532119272</v>
      </c>
      <c r="R60" s="164">
        <f t="shared" si="10"/>
        <v>-38874.630266623128</v>
      </c>
      <c r="S60" s="164">
        <f t="shared" si="10"/>
        <v>-40701.748503376555</v>
      </c>
      <c r="T60" s="164">
        <f t="shared" si="10"/>
        <v>-42614.741796128743</v>
      </c>
      <c r="U60" s="164">
        <f t="shared" si="10"/>
        <v>-44617.646295958708</v>
      </c>
      <c r="V60" s="164">
        <f t="shared" si="10"/>
        <v>-46714.687854148215</v>
      </c>
      <c r="W60" s="164">
        <f t="shared" si="10"/>
        <v>-48910.290938143095</v>
      </c>
      <c r="X60" s="164">
        <f t="shared" si="10"/>
        <v>-51209.08796656716</v>
      </c>
      <c r="Y60" s="164">
        <f t="shared" si="10"/>
        <v>-53615.929082984374</v>
      </c>
      <c r="Z60" s="164">
        <f t="shared" si="10"/>
        <v>-56135.892389030472</v>
      </c>
      <c r="AA60" s="164">
        <f t="shared" ref="AA60:AF60" si="11">SUM(AA61:AA65)</f>
        <v>-58774.294658504594</v>
      </c>
      <c r="AB60" s="164">
        <f t="shared" si="11"/>
        <v>-61536.702555026102</v>
      </c>
      <c r="AC60" s="164">
        <f t="shared" si="11"/>
        <v>-64428.944376924374</v>
      </c>
      <c r="AD60" s="164">
        <f t="shared" si="11"/>
        <v>-67457.122354141626</v>
      </c>
      <c r="AE60" s="164">
        <f t="shared" si="11"/>
        <v>-70627.625523093462</v>
      </c>
      <c r="AF60" s="164">
        <f t="shared" si="11"/>
        <v>-73947.143206651497</v>
      </c>
      <c r="AG60" s="108"/>
    </row>
    <row r="61" spans="1:33" x14ac:dyDescent="0.2">
      <c r="A61" s="172" t="s">
        <v>234</v>
      </c>
      <c r="B61" s="164"/>
      <c r="C61" s="164">
        <f>-IF(C$47&lt;=$B$30,0,$B$29*(1+C$49)*$B$28)</f>
        <v>-19519.304878022314</v>
      </c>
      <c r="D61" s="164">
        <f>-IF(D$47&lt;=$B$30,0,$B$29*(1+D$49)*$B$28)</f>
        <v>-20436.717536786691</v>
      </c>
      <c r="E61" s="164">
        <f t="shared" ref="E61:AF61" si="12">-IF(E$47&lt;=$B$30,0,$B$29*(1+E$49)*$B$28)</f>
        <v>-21397.248841000823</v>
      </c>
      <c r="F61" s="164">
        <f t="shared" si="12"/>
        <v>-22402.925378773842</v>
      </c>
      <c r="G61" s="164">
        <f t="shared" si="12"/>
        <v>-23455.868988409351</v>
      </c>
      <c r="H61" s="164">
        <f t="shared" si="12"/>
        <v>-24558.301235190556</v>
      </c>
      <c r="I61" s="164">
        <f t="shared" si="12"/>
        <v>-25712.548098575549</v>
      </c>
      <c r="J61" s="164">
        <f t="shared" si="12"/>
        <v>-26921.044879692021</v>
      </c>
      <c r="K61" s="164">
        <f t="shared" si="12"/>
        <v>-28186.341339485611</v>
      </c>
      <c r="L61" s="164">
        <f t="shared" si="12"/>
        <v>-29511.107078362566</v>
      </c>
      <c r="M61" s="164">
        <f t="shared" si="12"/>
        <v>-30898.137168677127</v>
      </c>
      <c r="N61" s="164">
        <f t="shared" si="12"/>
        <v>-32350.358051947358</v>
      </c>
      <c r="O61" s="164">
        <f t="shared" si="12"/>
        <v>-33870.833713241685</v>
      </c>
      <c r="P61" s="164">
        <f t="shared" si="12"/>
        <v>-35462.772145763331</v>
      </c>
      <c r="Q61" s="164">
        <f t="shared" si="12"/>
        <v>-37129.532119272</v>
      </c>
      <c r="R61" s="164">
        <f t="shared" si="12"/>
        <v>-38874.630266623128</v>
      </c>
      <c r="S61" s="164">
        <f t="shared" si="12"/>
        <v>-40701.748503376555</v>
      </c>
      <c r="T61" s="164">
        <f t="shared" si="12"/>
        <v>-42614.741796128743</v>
      </c>
      <c r="U61" s="164">
        <f t="shared" si="12"/>
        <v>-44617.646295958708</v>
      </c>
      <c r="V61" s="164">
        <f t="shared" si="12"/>
        <v>-46714.687854148215</v>
      </c>
      <c r="W61" s="164">
        <f t="shared" si="12"/>
        <v>-48910.290938143095</v>
      </c>
      <c r="X61" s="164">
        <f t="shared" si="12"/>
        <v>-51209.08796656716</v>
      </c>
      <c r="Y61" s="164">
        <f t="shared" si="12"/>
        <v>-53615.929082984374</v>
      </c>
      <c r="Z61" s="164">
        <f t="shared" si="12"/>
        <v>-56135.892389030472</v>
      </c>
      <c r="AA61" s="164">
        <f t="shared" si="12"/>
        <v>-58774.294658504594</v>
      </c>
      <c r="AB61" s="164">
        <f t="shared" si="12"/>
        <v>-61536.702555026102</v>
      </c>
      <c r="AC61" s="164">
        <f t="shared" si="12"/>
        <v>-64428.944376924374</v>
      </c>
      <c r="AD61" s="164">
        <f t="shared" si="12"/>
        <v>-67457.122354141626</v>
      </c>
      <c r="AE61" s="164">
        <f t="shared" si="12"/>
        <v>-70627.625523093462</v>
      </c>
      <c r="AF61" s="164">
        <f t="shared" si="12"/>
        <v>-73947.143206651497</v>
      </c>
      <c r="AG61" s="108"/>
    </row>
    <row r="62" spans="1:33" x14ac:dyDescent="0.2">
      <c r="A62" s="172" t="str">
        <f>A32</f>
        <v>Прочие расходы при эксплуатации объекта, руб. без НДС</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08"/>
    </row>
    <row r="63" spans="1:33" x14ac:dyDescent="0.2">
      <c r="A63" s="172" t="s">
        <v>399</v>
      </c>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08"/>
    </row>
    <row r="64" spans="1:33" x14ac:dyDescent="0.2">
      <c r="A64" s="172" t="s">
        <v>399</v>
      </c>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08"/>
    </row>
    <row r="65" spans="1:33" ht="31.5" x14ac:dyDescent="0.2">
      <c r="A65" s="172" t="s">
        <v>417</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08"/>
    </row>
    <row r="66" spans="1:33" ht="28.5" x14ac:dyDescent="0.2">
      <c r="A66" s="173" t="s">
        <v>418</v>
      </c>
      <c r="B66" s="171">
        <f t="shared" ref="B66:AF66" si="13">B59+B60</f>
        <v>0</v>
      </c>
      <c r="C66" s="171">
        <f t="shared" si="13"/>
        <v>-19519.304878022314</v>
      </c>
      <c r="D66" s="171">
        <f t="shared" si="13"/>
        <v>-20436.717536786691</v>
      </c>
      <c r="E66" s="171">
        <f t="shared" si="13"/>
        <v>-21397.248841000823</v>
      </c>
      <c r="F66" s="171">
        <f t="shared" si="13"/>
        <v>-22402.925378773842</v>
      </c>
      <c r="G66" s="171">
        <f t="shared" si="13"/>
        <v>-23455.868988409351</v>
      </c>
      <c r="H66" s="171">
        <f t="shared" si="13"/>
        <v>-24558.301235190556</v>
      </c>
      <c r="I66" s="171">
        <f t="shared" si="13"/>
        <v>-25712.548098575549</v>
      </c>
      <c r="J66" s="171">
        <f t="shared" si="13"/>
        <v>-26921.044879692021</v>
      </c>
      <c r="K66" s="171">
        <f t="shared" si="13"/>
        <v>-28186.341339485611</v>
      </c>
      <c r="L66" s="171">
        <f t="shared" si="13"/>
        <v>-29511.107078362566</v>
      </c>
      <c r="M66" s="171">
        <f t="shared" si="13"/>
        <v>-30898.137168677127</v>
      </c>
      <c r="N66" s="171">
        <f t="shared" si="13"/>
        <v>-32350.358051947358</v>
      </c>
      <c r="O66" s="171">
        <f t="shared" si="13"/>
        <v>-33870.833713241685</v>
      </c>
      <c r="P66" s="171">
        <f t="shared" si="13"/>
        <v>-35462.772145763331</v>
      </c>
      <c r="Q66" s="171">
        <f t="shared" si="13"/>
        <v>-37129.532119272</v>
      </c>
      <c r="R66" s="171">
        <f t="shared" si="13"/>
        <v>-38874.630266623128</v>
      </c>
      <c r="S66" s="171">
        <f t="shared" si="13"/>
        <v>-40701.748503376555</v>
      </c>
      <c r="T66" s="171">
        <f t="shared" si="13"/>
        <v>-42614.741796128743</v>
      </c>
      <c r="U66" s="171">
        <f t="shared" si="13"/>
        <v>-44617.646295958708</v>
      </c>
      <c r="V66" s="171">
        <f t="shared" si="13"/>
        <v>-46714.687854148215</v>
      </c>
      <c r="W66" s="171">
        <f t="shared" si="13"/>
        <v>-48910.290938143095</v>
      </c>
      <c r="X66" s="171">
        <f t="shared" si="13"/>
        <v>-51209.08796656716</v>
      </c>
      <c r="Y66" s="171">
        <f t="shared" si="13"/>
        <v>-53615.929082984374</v>
      </c>
      <c r="Z66" s="171">
        <f t="shared" si="13"/>
        <v>-56135.892389030472</v>
      </c>
      <c r="AA66" s="171">
        <f t="shared" si="13"/>
        <v>-58774.294658504594</v>
      </c>
      <c r="AB66" s="171">
        <f t="shared" si="13"/>
        <v>-61536.702555026102</v>
      </c>
      <c r="AC66" s="171">
        <f t="shared" si="13"/>
        <v>-64428.944376924374</v>
      </c>
      <c r="AD66" s="171">
        <f t="shared" si="13"/>
        <v>-67457.122354141626</v>
      </c>
      <c r="AE66" s="171">
        <f t="shared" si="13"/>
        <v>-70627.625523093462</v>
      </c>
      <c r="AF66" s="171">
        <f t="shared" si="13"/>
        <v>-73947.143206651497</v>
      </c>
      <c r="AG66" s="108"/>
    </row>
    <row r="67" spans="1:33" x14ac:dyDescent="0.2">
      <c r="A67" s="172" t="s">
        <v>229</v>
      </c>
      <c r="B67" s="174"/>
      <c r="C67" s="164">
        <f>-($B$25)*$B$28/$B$27</f>
        <v>-56365.828000000001</v>
      </c>
      <c r="D67" s="164">
        <f>C67</f>
        <v>-56365.828000000001</v>
      </c>
      <c r="E67" s="164">
        <f t="shared" ref="E67:AF67" si="14">D67</f>
        <v>-56365.828000000001</v>
      </c>
      <c r="F67" s="164">
        <f t="shared" si="14"/>
        <v>-56365.828000000001</v>
      </c>
      <c r="G67" s="164">
        <f t="shared" si="14"/>
        <v>-56365.828000000001</v>
      </c>
      <c r="H67" s="164">
        <f t="shared" si="14"/>
        <v>-56365.828000000001</v>
      </c>
      <c r="I67" s="164">
        <f t="shared" si="14"/>
        <v>-56365.828000000001</v>
      </c>
      <c r="J67" s="164">
        <f t="shared" si="14"/>
        <v>-56365.828000000001</v>
      </c>
      <c r="K67" s="164">
        <f t="shared" si="14"/>
        <v>-56365.828000000001</v>
      </c>
      <c r="L67" s="164">
        <f t="shared" si="14"/>
        <v>-56365.828000000001</v>
      </c>
      <c r="M67" s="164">
        <f t="shared" si="14"/>
        <v>-56365.828000000001</v>
      </c>
      <c r="N67" s="164">
        <f t="shared" si="14"/>
        <v>-56365.828000000001</v>
      </c>
      <c r="O67" s="164">
        <f t="shared" si="14"/>
        <v>-56365.828000000001</v>
      </c>
      <c r="P67" s="164">
        <f t="shared" si="14"/>
        <v>-56365.828000000001</v>
      </c>
      <c r="Q67" s="164">
        <f t="shared" si="14"/>
        <v>-56365.828000000001</v>
      </c>
      <c r="R67" s="164">
        <f t="shared" si="14"/>
        <v>-56365.828000000001</v>
      </c>
      <c r="S67" s="164">
        <f t="shared" si="14"/>
        <v>-56365.828000000001</v>
      </c>
      <c r="T67" s="164">
        <f t="shared" si="14"/>
        <v>-56365.828000000001</v>
      </c>
      <c r="U67" s="164">
        <f t="shared" si="14"/>
        <v>-56365.828000000001</v>
      </c>
      <c r="V67" s="164">
        <f t="shared" si="14"/>
        <v>-56365.828000000001</v>
      </c>
      <c r="W67" s="164">
        <f t="shared" si="14"/>
        <v>-56365.828000000001</v>
      </c>
      <c r="X67" s="164">
        <f t="shared" si="14"/>
        <v>-56365.828000000001</v>
      </c>
      <c r="Y67" s="164">
        <f t="shared" si="14"/>
        <v>-56365.828000000001</v>
      </c>
      <c r="Z67" s="164">
        <f t="shared" si="14"/>
        <v>-56365.828000000001</v>
      </c>
      <c r="AA67" s="164">
        <f t="shared" si="14"/>
        <v>-56365.828000000001</v>
      </c>
      <c r="AB67" s="164">
        <f t="shared" si="14"/>
        <v>-56365.828000000001</v>
      </c>
      <c r="AC67" s="164">
        <f t="shared" si="14"/>
        <v>-56365.828000000001</v>
      </c>
      <c r="AD67" s="164">
        <f t="shared" si="14"/>
        <v>-56365.828000000001</v>
      </c>
      <c r="AE67" s="164">
        <f t="shared" si="14"/>
        <v>-56365.828000000001</v>
      </c>
      <c r="AF67" s="164">
        <f t="shared" si="14"/>
        <v>-56365.828000000001</v>
      </c>
      <c r="AG67" s="108"/>
    </row>
    <row r="68" spans="1:33" ht="28.5" x14ac:dyDescent="0.2">
      <c r="A68" s="173" t="s">
        <v>419</v>
      </c>
      <c r="B68" s="171">
        <f t="shared" ref="B68:J68" si="15">B66+B67</f>
        <v>0</v>
      </c>
      <c r="C68" s="171">
        <f>C66+C67</f>
        <v>-75885.132878022312</v>
      </c>
      <c r="D68" s="171">
        <f>D66+D67</f>
        <v>-76802.545536786696</v>
      </c>
      <c r="E68" s="171">
        <f t="shared" si="15"/>
        <v>-77763.076841000817</v>
      </c>
      <c r="F68" s="171">
        <f>F66+C67</f>
        <v>-78768.753378773836</v>
      </c>
      <c r="G68" s="171">
        <f t="shared" si="15"/>
        <v>-79821.696988409356</v>
      </c>
      <c r="H68" s="171">
        <f t="shared" si="15"/>
        <v>-80924.129235190558</v>
      </c>
      <c r="I68" s="171">
        <f t="shared" si="15"/>
        <v>-82078.376098575551</v>
      </c>
      <c r="J68" s="171">
        <f t="shared" si="15"/>
        <v>-83286.872879692019</v>
      </c>
      <c r="K68" s="171">
        <f>K66+K67</f>
        <v>-84552.169339485612</v>
      </c>
      <c r="L68" s="171">
        <f>L66+L67</f>
        <v>-85876.93507836257</v>
      </c>
      <c r="M68" s="171">
        <f t="shared" ref="M68:AF68" si="16">M66+M67</f>
        <v>-87263.965168677125</v>
      </c>
      <c r="N68" s="171">
        <f t="shared" si="16"/>
        <v>-88716.186051947356</v>
      </c>
      <c r="O68" s="171">
        <f t="shared" si="16"/>
        <v>-90236.661713241687</v>
      </c>
      <c r="P68" s="171">
        <f t="shared" si="16"/>
        <v>-91828.600145763339</v>
      </c>
      <c r="Q68" s="171">
        <f t="shared" si="16"/>
        <v>-93495.360119271994</v>
      </c>
      <c r="R68" s="171">
        <f t="shared" si="16"/>
        <v>-95240.458266623129</v>
      </c>
      <c r="S68" s="171">
        <f t="shared" si="16"/>
        <v>-97067.576503376564</v>
      </c>
      <c r="T68" s="171">
        <f t="shared" si="16"/>
        <v>-98980.569796128751</v>
      </c>
      <c r="U68" s="171">
        <f t="shared" si="16"/>
        <v>-100983.4742959587</v>
      </c>
      <c r="V68" s="171">
        <f t="shared" si="16"/>
        <v>-103080.51585414822</v>
      </c>
      <c r="W68" s="171">
        <f t="shared" si="16"/>
        <v>-105276.1189381431</v>
      </c>
      <c r="X68" s="171">
        <f t="shared" si="16"/>
        <v>-107574.91596656716</v>
      </c>
      <c r="Y68" s="171">
        <f t="shared" si="16"/>
        <v>-109981.75708298438</v>
      </c>
      <c r="Z68" s="171">
        <f t="shared" si="16"/>
        <v>-112501.72038903047</v>
      </c>
      <c r="AA68" s="171">
        <f t="shared" si="16"/>
        <v>-115140.1226585046</v>
      </c>
      <c r="AB68" s="171">
        <f t="shared" si="16"/>
        <v>-117902.53055502611</v>
      </c>
      <c r="AC68" s="171">
        <f t="shared" si="16"/>
        <v>-120794.77237692437</v>
      </c>
      <c r="AD68" s="171">
        <f t="shared" si="16"/>
        <v>-123822.95035414162</v>
      </c>
      <c r="AE68" s="171">
        <f t="shared" si="16"/>
        <v>-126993.45352309346</v>
      </c>
      <c r="AF68" s="171">
        <f t="shared" si="16"/>
        <v>-130312.97120665151</v>
      </c>
      <c r="AG68" s="108"/>
    </row>
    <row r="69" spans="1:33" x14ac:dyDescent="0.2">
      <c r="A69" s="172" t="s">
        <v>228</v>
      </c>
      <c r="B69" s="164">
        <f t="shared" ref="B69:AF69" si="17">-B56</f>
        <v>0</v>
      </c>
      <c r="C69" s="164">
        <f t="shared" si="17"/>
        <v>0</v>
      </c>
      <c r="D69" s="164">
        <f t="shared" si="17"/>
        <v>0</v>
      </c>
      <c r="E69" s="164">
        <f t="shared" si="17"/>
        <v>0</v>
      </c>
      <c r="F69" s="164">
        <f t="shared" si="17"/>
        <v>0</v>
      </c>
      <c r="G69" s="164">
        <f t="shared" si="17"/>
        <v>0</v>
      </c>
      <c r="H69" s="164">
        <f t="shared" si="17"/>
        <v>0</v>
      </c>
      <c r="I69" s="164">
        <f t="shared" si="17"/>
        <v>0</v>
      </c>
      <c r="J69" s="164">
        <f t="shared" si="17"/>
        <v>0</v>
      </c>
      <c r="K69" s="164">
        <f t="shared" si="17"/>
        <v>0</v>
      </c>
      <c r="L69" s="164">
        <f t="shared" si="17"/>
        <v>0</v>
      </c>
      <c r="M69" s="164">
        <f t="shared" si="17"/>
        <v>0</v>
      </c>
      <c r="N69" s="164">
        <f t="shared" si="17"/>
        <v>0</v>
      </c>
      <c r="O69" s="164">
        <f t="shared" si="17"/>
        <v>0</v>
      </c>
      <c r="P69" s="164">
        <f t="shared" si="17"/>
        <v>0</v>
      </c>
      <c r="Q69" s="164">
        <f t="shared" si="17"/>
        <v>0</v>
      </c>
      <c r="R69" s="164">
        <f t="shared" si="17"/>
        <v>0</v>
      </c>
      <c r="S69" s="164">
        <f t="shared" si="17"/>
        <v>0</v>
      </c>
      <c r="T69" s="164">
        <f t="shared" si="17"/>
        <v>0</v>
      </c>
      <c r="U69" s="164">
        <f t="shared" si="17"/>
        <v>0</v>
      </c>
      <c r="V69" s="164">
        <f t="shared" si="17"/>
        <v>0</v>
      </c>
      <c r="W69" s="164">
        <f t="shared" si="17"/>
        <v>0</v>
      </c>
      <c r="X69" s="164">
        <f t="shared" si="17"/>
        <v>0</v>
      </c>
      <c r="Y69" s="164">
        <f t="shared" si="17"/>
        <v>0</v>
      </c>
      <c r="Z69" s="164">
        <f t="shared" si="17"/>
        <v>0</v>
      </c>
      <c r="AA69" s="164">
        <f t="shared" si="17"/>
        <v>0</v>
      </c>
      <c r="AB69" s="164">
        <f t="shared" si="17"/>
        <v>0</v>
      </c>
      <c r="AC69" s="164">
        <f t="shared" si="17"/>
        <v>0</v>
      </c>
      <c r="AD69" s="164">
        <f t="shared" si="17"/>
        <v>0</v>
      </c>
      <c r="AE69" s="164">
        <f t="shared" si="17"/>
        <v>0</v>
      </c>
      <c r="AF69" s="164">
        <f t="shared" si="17"/>
        <v>0</v>
      </c>
      <c r="AG69" s="108"/>
    </row>
    <row r="70" spans="1:33" ht="14.25" x14ac:dyDescent="0.2">
      <c r="A70" s="173" t="s">
        <v>232</v>
      </c>
      <c r="B70" s="171">
        <f t="shared" ref="B70:AF70" si="18">B68+B69</f>
        <v>0</v>
      </c>
      <c r="C70" s="171">
        <f t="shared" si="18"/>
        <v>-75885.132878022312</v>
      </c>
      <c r="D70" s="171">
        <f t="shared" si="18"/>
        <v>-76802.545536786696</v>
      </c>
      <c r="E70" s="171">
        <f t="shared" si="18"/>
        <v>-77763.076841000817</v>
      </c>
      <c r="F70" s="171">
        <f t="shared" si="18"/>
        <v>-78768.753378773836</v>
      </c>
      <c r="G70" s="171">
        <f t="shared" si="18"/>
        <v>-79821.696988409356</v>
      </c>
      <c r="H70" s="171">
        <f t="shared" si="18"/>
        <v>-80924.129235190558</v>
      </c>
      <c r="I70" s="171">
        <f t="shared" si="18"/>
        <v>-82078.376098575551</v>
      </c>
      <c r="J70" s="171">
        <f t="shared" si="18"/>
        <v>-83286.872879692019</v>
      </c>
      <c r="K70" s="171">
        <f t="shared" si="18"/>
        <v>-84552.169339485612</v>
      </c>
      <c r="L70" s="171">
        <f t="shared" si="18"/>
        <v>-85876.93507836257</v>
      </c>
      <c r="M70" s="171">
        <f t="shared" si="18"/>
        <v>-87263.965168677125</v>
      </c>
      <c r="N70" s="171">
        <f t="shared" si="18"/>
        <v>-88716.186051947356</v>
      </c>
      <c r="O70" s="171">
        <f t="shared" si="18"/>
        <v>-90236.661713241687</v>
      </c>
      <c r="P70" s="171">
        <f t="shared" si="18"/>
        <v>-91828.600145763339</v>
      </c>
      <c r="Q70" s="171">
        <f t="shared" si="18"/>
        <v>-93495.360119271994</v>
      </c>
      <c r="R70" s="171">
        <f t="shared" si="18"/>
        <v>-95240.458266623129</v>
      </c>
      <c r="S70" s="171">
        <f t="shared" si="18"/>
        <v>-97067.576503376564</v>
      </c>
      <c r="T70" s="171">
        <f t="shared" si="18"/>
        <v>-98980.569796128751</v>
      </c>
      <c r="U70" s="171">
        <f t="shared" si="18"/>
        <v>-100983.4742959587</v>
      </c>
      <c r="V70" s="171">
        <f t="shared" si="18"/>
        <v>-103080.51585414822</v>
      </c>
      <c r="W70" s="171">
        <f t="shared" si="18"/>
        <v>-105276.1189381431</v>
      </c>
      <c r="X70" s="171">
        <f t="shared" si="18"/>
        <v>-107574.91596656716</v>
      </c>
      <c r="Y70" s="171">
        <f t="shared" si="18"/>
        <v>-109981.75708298438</v>
      </c>
      <c r="Z70" s="171">
        <f t="shared" si="18"/>
        <v>-112501.72038903047</v>
      </c>
      <c r="AA70" s="171">
        <f t="shared" si="18"/>
        <v>-115140.1226585046</v>
      </c>
      <c r="AB70" s="171">
        <f t="shared" si="18"/>
        <v>-117902.53055502611</v>
      </c>
      <c r="AC70" s="171">
        <f t="shared" si="18"/>
        <v>-120794.77237692437</v>
      </c>
      <c r="AD70" s="171">
        <f t="shared" si="18"/>
        <v>-123822.95035414162</v>
      </c>
      <c r="AE70" s="171">
        <f t="shared" si="18"/>
        <v>-126993.45352309346</v>
      </c>
      <c r="AF70" s="171">
        <f t="shared" si="18"/>
        <v>-130312.97120665151</v>
      </c>
      <c r="AG70" s="108"/>
    </row>
    <row r="71" spans="1:33" x14ac:dyDescent="0.2">
      <c r="A71" s="172" t="s">
        <v>227</v>
      </c>
      <c r="B71" s="164">
        <f t="shared" ref="B71:AF71" si="19">-B70*$B$36</f>
        <v>0</v>
      </c>
      <c r="C71" s="164">
        <f t="shared" si="19"/>
        <v>15177.026575604463</v>
      </c>
      <c r="D71" s="164">
        <f t="shared" si="19"/>
        <v>15360.50910735734</v>
      </c>
      <c r="E71" s="164">
        <f t="shared" si="19"/>
        <v>15552.615368200164</v>
      </c>
      <c r="F71" s="164">
        <f t="shared" si="19"/>
        <v>15753.750675754767</v>
      </c>
      <c r="G71" s="164">
        <f t="shared" si="19"/>
        <v>15964.339397681872</v>
      </c>
      <c r="H71" s="164">
        <f t="shared" si="19"/>
        <v>16184.825847038112</v>
      </c>
      <c r="I71" s="164">
        <f t="shared" si="19"/>
        <v>16415.675219715111</v>
      </c>
      <c r="J71" s="164">
        <f t="shared" si="19"/>
        <v>16657.374575938404</v>
      </c>
      <c r="K71" s="164">
        <f t="shared" si="19"/>
        <v>16910.433867897122</v>
      </c>
      <c r="L71" s="164">
        <f t="shared" si="19"/>
        <v>17175.387015672513</v>
      </c>
      <c r="M71" s="164">
        <f t="shared" si="19"/>
        <v>17452.793033735426</v>
      </c>
      <c r="N71" s="164">
        <f t="shared" si="19"/>
        <v>17743.23721038947</v>
      </c>
      <c r="O71" s="164">
        <f t="shared" si="19"/>
        <v>18047.332342648337</v>
      </c>
      <c r="P71" s="164">
        <f t="shared" si="19"/>
        <v>18365.720029152668</v>
      </c>
      <c r="Q71" s="164">
        <f t="shared" si="19"/>
        <v>18699.072023854398</v>
      </c>
      <c r="R71" s="164">
        <f t="shared" si="19"/>
        <v>19048.091653324627</v>
      </c>
      <c r="S71" s="164">
        <f t="shared" si="19"/>
        <v>19413.515300675313</v>
      </c>
      <c r="T71" s="164">
        <f t="shared" si="19"/>
        <v>19796.113959225753</v>
      </c>
      <c r="U71" s="164">
        <f t="shared" si="19"/>
        <v>20196.694859191743</v>
      </c>
      <c r="V71" s="164">
        <f t="shared" si="19"/>
        <v>20616.103170829647</v>
      </c>
      <c r="W71" s="164">
        <f t="shared" si="19"/>
        <v>21055.223787628624</v>
      </c>
      <c r="X71" s="164">
        <f t="shared" si="19"/>
        <v>21514.983193313434</v>
      </c>
      <c r="Y71" s="164">
        <f t="shared" si="19"/>
        <v>21996.351416596877</v>
      </c>
      <c r="Z71" s="164">
        <f t="shared" si="19"/>
        <v>22500.344077806094</v>
      </c>
      <c r="AA71" s="164">
        <f t="shared" si="19"/>
        <v>23028.024531700921</v>
      </c>
      <c r="AB71" s="164">
        <f t="shared" si="19"/>
        <v>23580.506111005223</v>
      </c>
      <c r="AC71" s="164">
        <f t="shared" si="19"/>
        <v>24158.954475384875</v>
      </c>
      <c r="AD71" s="164">
        <f t="shared" si="19"/>
        <v>24764.590070828326</v>
      </c>
      <c r="AE71" s="164">
        <f t="shared" si="19"/>
        <v>25398.690704618693</v>
      </c>
      <c r="AF71" s="164">
        <f t="shared" si="19"/>
        <v>26062.594241330302</v>
      </c>
      <c r="AG71" s="108"/>
    </row>
    <row r="72" spans="1:33" ht="15" thickBot="1" x14ac:dyDescent="0.25">
      <c r="A72" s="175" t="s">
        <v>231</v>
      </c>
      <c r="B72" s="176">
        <f t="shared" ref="B72:AF72" si="20">B70+B71</f>
        <v>0</v>
      </c>
      <c r="C72" s="176">
        <f t="shared" si="20"/>
        <v>-60708.106302417851</v>
      </c>
      <c r="D72" s="176">
        <f t="shared" si="20"/>
        <v>-61442.036429429354</v>
      </c>
      <c r="E72" s="176">
        <f t="shared" si="20"/>
        <v>-62210.461472800656</v>
      </c>
      <c r="F72" s="176">
        <f t="shared" si="20"/>
        <v>-63015.002703019069</v>
      </c>
      <c r="G72" s="176">
        <f t="shared" si="20"/>
        <v>-63857.357590727486</v>
      </c>
      <c r="H72" s="176">
        <f t="shared" si="20"/>
        <v>-64739.303388152446</v>
      </c>
      <c r="I72" s="176">
        <f t="shared" si="20"/>
        <v>-65662.700878860443</v>
      </c>
      <c r="J72" s="176">
        <f t="shared" si="20"/>
        <v>-66629.498303753615</v>
      </c>
      <c r="K72" s="176">
        <f t="shared" si="20"/>
        <v>-67641.735471588487</v>
      </c>
      <c r="L72" s="176">
        <f t="shared" si="20"/>
        <v>-68701.548062690053</v>
      </c>
      <c r="M72" s="176">
        <f t="shared" si="20"/>
        <v>-69811.172134941706</v>
      </c>
      <c r="N72" s="176">
        <f t="shared" si="20"/>
        <v>-70972.948841557882</v>
      </c>
      <c r="O72" s="176">
        <f t="shared" si="20"/>
        <v>-72189.329370593347</v>
      </c>
      <c r="P72" s="176">
        <f t="shared" si="20"/>
        <v>-73462.880116610671</v>
      </c>
      <c r="Q72" s="176">
        <f t="shared" si="20"/>
        <v>-74796.288095417593</v>
      </c>
      <c r="R72" s="176">
        <f t="shared" si="20"/>
        <v>-76192.366613298509</v>
      </c>
      <c r="S72" s="176">
        <f t="shared" si="20"/>
        <v>-77654.061202701254</v>
      </c>
      <c r="T72" s="176">
        <f t="shared" si="20"/>
        <v>-79184.455836902998</v>
      </c>
      <c r="U72" s="176">
        <f t="shared" si="20"/>
        <v>-80786.779436766956</v>
      </c>
      <c r="V72" s="176">
        <f t="shared" si="20"/>
        <v>-82464.412683318573</v>
      </c>
      <c r="W72" s="176">
        <f t="shared" si="20"/>
        <v>-84220.89515051448</v>
      </c>
      <c r="X72" s="176">
        <f t="shared" si="20"/>
        <v>-86059.932773253735</v>
      </c>
      <c r="Y72" s="176">
        <f t="shared" si="20"/>
        <v>-87985.405666387494</v>
      </c>
      <c r="Z72" s="176">
        <f t="shared" si="20"/>
        <v>-90001.376311224376</v>
      </c>
      <c r="AA72" s="176">
        <f t="shared" si="20"/>
        <v>-92112.09812680367</v>
      </c>
      <c r="AB72" s="176">
        <f t="shared" si="20"/>
        <v>-94322.024444020892</v>
      </c>
      <c r="AC72" s="176">
        <f t="shared" si="20"/>
        <v>-96635.8179015395</v>
      </c>
      <c r="AD72" s="176">
        <f t="shared" si="20"/>
        <v>-99058.36028331329</v>
      </c>
      <c r="AE72" s="176">
        <f t="shared" si="20"/>
        <v>-101594.76281847476</v>
      </c>
      <c r="AF72" s="176">
        <f t="shared" si="20"/>
        <v>-104250.37696532121</v>
      </c>
      <c r="AG72" s="108"/>
    </row>
    <row r="73" spans="1:33" s="178" customFormat="1" ht="16.5" thickBot="1" x14ac:dyDescent="0.25">
      <c r="A73" s="167"/>
      <c r="B73" s="177">
        <f>C134</f>
        <v>1.5</v>
      </c>
      <c r="C73" s="177">
        <f t="shared" ref="C73:AF73" si="21">D134</f>
        <v>2.5</v>
      </c>
      <c r="D73" s="177">
        <f t="shared" si="21"/>
        <v>3.5</v>
      </c>
      <c r="E73" s="177">
        <f t="shared" si="21"/>
        <v>4.5</v>
      </c>
      <c r="F73" s="177">
        <f t="shared" si="21"/>
        <v>5.5</v>
      </c>
      <c r="G73" s="177">
        <f t="shared" si="21"/>
        <v>6.5</v>
      </c>
      <c r="H73" s="177">
        <f t="shared" si="21"/>
        <v>7.5</v>
      </c>
      <c r="I73" s="177">
        <f t="shared" si="21"/>
        <v>8.5</v>
      </c>
      <c r="J73" s="177">
        <f t="shared" si="21"/>
        <v>9.5</v>
      </c>
      <c r="K73" s="177">
        <f t="shared" si="21"/>
        <v>10.5</v>
      </c>
      <c r="L73" s="177">
        <f t="shared" si="21"/>
        <v>11.5</v>
      </c>
      <c r="M73" s="177">
        <f t="shared" si="21"/>
        <v>12.5</v>
      </c>
      <c r="N73" s="177">
        <f t="shared" si="21"/>
        <v>13.5</v>
      </c>
      <c r="O73" s="177">
        <f t="shared" si="21"/>
        <v>14.5</v>
      </c>
      <c r="P73" s="177">
        <f t="shared" si="21"/>
        <v>15.5</v>
      </c>
      <c r="Q73" s="177">
        <f t="shared" si="21"/>
        <v>16.5</v>
      </c>
      <c r="R73" s="177">
        <f t="shared" si="21"/>
        <v>17.5</v>
      </c>
      <c r="S73" s="177">
        <f t="shared" si="21"/>
        <v>18.5</v>
      </c>
      <c r="T73" s="177">
        <f t="shared" si="21"/>
        <v>19.5</v>
      </c>
      <c r="U73" s="177">
        <f t="shared" si="21"/>
        <v>20.5</v>
      </c>
      <c r="V73" s="177">
        <f t="shared" si="21"/>
        <v>21.5</v>
      </c>
      <c r="W73" s="177">
        <f t="shared" si="21"/>
        <v>22.5</v>
      </c>
      <c r="X73" s="177">
        <f t="shared" si="21"/>
        <v>23.5</v>
      </c>
      <c r="Y73" s="177">
        <f t="shared" si="21"/>
        <v>24.5</v>
      </c>
      <c r="Z73" s="177">
        <f t="shared" si="21"/>
        <v>25.5</v>
      </c>
      <c r="AA73" s="177">
        <f t="shared" si="21"/>
        <v>26.5</v>
      </c>
      <c r="AB73" s="177">
        <f t="shared" si="21"/>
        <v>27.5</v>
      </c>
      <c r="AC73" s="177">
        <f t="shared" si="21"/>
        <v>28.5</v>
      </c>
      <c r="AD73" s="177">
        <f t="shared" si="21"/>
        <v>29.5</v>
      </c>
      <c r="AE73" s="177">
        <f t="shared" si="21"/>
        <v>30.5</v>
      </c>
      <c r="AF73" s="177">
        <f t="shared" si="21"/>
        <v>31.5</v>
      </c>
    </row>
    <row r="74" spans="1:33" x14ac:dyDescent="0.2">
      <c r="A74" s="161" t="s">
        <v>230</v>
      </c>
      <c r="B74" s="162">
        <f t="shared" ref="B74:AF74" si="22">B58</f>
        <v>1</v>
      </c>
      <c r="C74" s="162">
        <f t="shared" si="22"/>
        <v>2</v>
      </c>
      <c r="D74" s="162">
        <f t="shared" si="22"/>
        <v>3</v>
      </c>
      <c r="E74" s="162">
        <f t="shared" si="22"/>
        <v>4</v>
      </c>
      <c r="F74" s="162">
        <f t="shared" si="22"/>
        <v>5</v>
      </c>
      <c r="G74" s="162">
        <f t="shared" si="22"/>
        <v>6</v>
      </c>
      <c r="H74" s="162">
        <f t="shared" si="22"/>
        <v>7</v>
      </c>
      <c r="I74" s="162">
        <f t="shared" si="22"/>
        <v>8</v>
      </c>
      <c r="J74" s="162">
        <f t="shared" si="22"/>
        <v>9</v>
      </c>
      <c r="K74" s="162">
        <f t="shared" si="22"/>
        <v>10</v>
      </c>
      <c r="L74" s="162">
        <f t="shared" si="22"/>
        <v>11</v>
      </c>
      <c r="M74" s="162">
        <f t="shared" si="22"/>
        <v>12</v>
      </c>
      <c r="N74" s="162">
        <f t="shared" si="22"/>
        <v>13</v>
      </c>
      <c r="O74" s="162">
        <f t="shared" si="22"/>
        <v>14</v>
      </c>
      <c r="P74" s="162">
        <f t="shared" si="22"/>
        <v>15</v>
      </c>
      <c r="Q74" s="162">
        <f t="shared" si="22"/>
        <v>16</v>
      </c>
      <c r="R74" s="162">
        <f t="shared" si="22"/>
        <v>17</v>
      </c>
      <c r="S74" s="162">
        <f t="shared" si="22"/>
        <v>18</v>
      </c>
      <c r="T74" s="162">
        <f t="shared" si="22"/>
        <v>19</v>
      </c>
      <c r="U74" s="162">
        <f t="shared" si="22"/>
        <v>20</v>
      </c>
      <c r="V74" s="162">
        <f t="shared" si="22"/>
        <v>21</v>
      </c>
      <c r="W74" s="162">
        <f t="shared" si="22"/>
        <v>22</v>
      </c>
      <c r="X74" s="162">
        <f t="shared" si="22"/>
        <v>23</v>
      </c>
      <c r="Y74" s="162">
        <f t="shared" si="22"/>
        <v>24</v>
      </c>
      <c r="Z74" s="162">
        <f t="shared" si="22"/>
        <v>25</v>
      </c>
      <c r="AA74" s="162">
        <f t="shared" si="22"/>
        <v>26</v>
      </c>
      <c r="AB74" s="162">
        <f t="shared" si="22"/>
        <v>27</v>
      </c>
      <c r="AC74" s="162">
        <f t="shared" si="22"/>
        <v>28</v>
      </c>
      <c r="AD74" s="162">
        <f t="shared" si="22"/>
        <v>29</v>
      </c>
      <c r="AE74" s="162">
        <f t="shared" si="22"/>
        <v>30</v>
      </c>
      <c r="AF74" s="162">
        <f t="shared" si="22"/>
        <v>31</v>
      </c>
      <c r="AG74" s="108"/>
    </row>
    <row r="75" spans="1:33" ht="28.5" x14ac:dyDescent="0.2">
      <c r="A75" s="170" t="s">
        <v>419</v>
      </c>
      <c r="B75" s="171">
        <f t="shared" ref="B75:AF75" si="23">B68</f>
        <v>0</v>
      </c>
      <c r="C75" s="171">
        <f t="shared" si="23"/>
        <v>-75885.132878022312</v>
      </c>
      <c r="D75" s="171">
        <f>D68</f>
        <v>-76802.545536786696</v>
      </c>
      <c r="E75" s="171">
        <f t="shared" si="23"/>
        <v>-77763.076841000817</v>
      </c>
      <c r="F75" s="171">
        <f t="shared" si="23"/>
        <v>-78768.753378773836</v>
      </c>
      <c r="G75" s="171">
        <f t="shared" si="23"/>
        <v>-79821.696988409356</v>
      </c>
      <c r="H75" s="171">
        <f t="shared" si="23"/>
        <v>-80924.129235190558</v>
      </c>
      <c r="I75" s="171">
        <f t="shared" si="23"/>
        <v>-82078.376098575551</v>
      </c>
      <c r="J75" s="171">
        <f t="shared" si="23"/>
        <v>-83286.872879692019</v>
      </c>
      <c r="K75" s="171">
        <f t="shared" si="23"/>
        <v>-84552.169339485612</v>
      </c>
      <c r="L75" s="171">
        <f t="shared" si="23"/>
        <v>-85876.93507836257</v>
      </c>
      <c r="M75" s="171">
        <f t="shared" si="23"/>
        <v>-87263.965168677125</v>
      </c>
      <c r="N75" s="171">
        <f t="shared" si="23"/>
        <v>-88716.186051947356</v>
      </c>
      <c r="O75" s="171">
        <f t="shared" si="23"/>
        <v>-90236.661713241687</v>
      </c>
      <c r="P75" s="171">
        <f t="shared" si="23"/>
        <v>-91828.600145763339</v>
      </c>
      <c r="Q75" s="171">
        <f t="shared" si="23"/>
        <v>-93495.360119271994</v>
      </c>
      <c r="R75" s="171">
        <f t="shared" si="23"/>
        <v>-95240.458266623129</v>
      </c>
      <c r="S75" s="171">
        <f t="shared" si="23"/>
        <v>-97067.576503376564</v>
      </c>
      <c r="T75" s="171">
        <f t="shared" si="23"/>
        <v>-98980.569796128751</v>
      </c>
      <c r="U75" s="171">
        <f t="shared" si="23"/>
        <v>-100983.4742959587</v>
      </c>
      <c r="V75" s="171">
        <f t="shared" si="23"/>
        <v>-103080.51585414822</v>
      </c>
      <c r="W75" s="171">
        <f t="shared" si="23"/>
        <v>-105276.1189381431</v>
      </c>
      <c r="X75" s="171">
        <f t="shared" si="23"/>
        <v>-107574.91596656716</v>
      </c>
      <c r="Y75" s="171">
        <f t="shared" si="23"/>
        <v>-109981.75708298438</v>
      </c>
      <c r="Z75" s="171">
        <f t="shared" si="23"/>
        <v>-112501.72038903047</v>
      </c>
      <c r="AA75" s="171">
        <f t="shared" si="23"/>
        <v>-115140.1226585046</v>
      </c>
      <c r="AB75" s="171">
        <f t="shared" si="23"/>
        <v>-117902.53055502611</v>
      </c>
      <c r="AC75" s="171">
        <f t="shared" si="23"/>
        <v>-120794.77237692437</v>
      </c>
      <c r="AD75" s="171">
        <f t="shared" si="23"/>
        <v>-123822.95035414162</v>
      </c>
      <c r="AE75" s="171">
        <f t="shared" si="23"/>
        <v>-126993.45352309346</v>
      </c>
      <c r="AF75" s="171">
        <f t="shared" si="23"/>
        <v>-130312.97120665151</v>
      </c>
      <c r="AG75" s="108"/>
    </row>
    <row r="76" spans="1:33" x14ac:dyDescent="0.2">
      <c r="A76" s="172" t="s">
        <v>229</v>
      </c>
      <c r="B76" s="164">
        <f t="shared" ref="B76:AF76" si="24">-B67</f>
        <v>0</v>
      </c>
      <c r="C76" s="164">
        <f>-C67</f>
        <v>56365.828000000001</v>
      </c>
      <c r="D76" s="164">
        <f t="shared" si="24"/>
        <v>56365.828000000001</v>
      </c>
      <c r="E76" s="164">
        <f t="shared" si="24"/>
        <v>56365.828000000001</v>
      </c>
      <c r="F76" s="164">
        <f>-C67</f>
        <v>56365.828000000001</v>
      </c>
      <c r="G76" s="164">
        <f t="shared" si="24"/>
        <v>56365.828000000001</v>
      </c>
      <c r="H76" s="164">
        <f t="shared" si="24"/>
        <v>56365.828000000001</v>
      </c>
      <c r="I76" s="164">
        <f t="shared" si="24"/>
        <v>56365.828000000001</v>
      </c>
      <c r="J76" s="164">
        <f t="shared" si="24"/>
        <v>56365.828000000001</v>
      </c>
      <c r="K76" s="164">
        <f t="shared" si="24"/>
        <v>56365.828000000001</v>
      </c>
      <c r="L76" s="164">
        <f>-L67</f>
        <v>56365.828000000001</v>
      </c>
      <c r="M76" s="164">
        <f>-M67</f>
        <v>56365.828000000001</v>
      </c>
      <c r="N76" s="164">
        <f t="shared" si="24"/>
        <v>56365.828000000001</v>
      </c>
      <c r="O76" s="164">
        <f t="shared" si="24"/>
        <v>56365.828000000001</v>
      </c>
      <c r="P76" s="164">
        <f t="shared" si="24"/>
        <v>56365.828000000001</v>
      </c>
      <c r="Q76" s="164">
        <f t="shared" si="24"/>
        <v>56365.828000000001</v>
      </c>
      <c r="R76" s="164">
        <f t="shared" si="24"/>
        <v>56365.828000000001</v>
      </c>
      <c r="S76" s="164">
        <f t="shared" si="24"/>
        <v>56365.828000000001</v>
      </c>
      <c r="T76" s="164">
        <f t="shared" si="24"/>
        <v>56365.828000000001</v>
      </c>
      <c r="U76" s="164">
        <f t="shared" si="24"/>
        <v>56365.828000000001</v>
      </c>
      <c r="V76" s="164">
        <f t="shared" si="24"/>
        <v>56365.828000000001</v>
      </c>
      <c r="W76" s="164">
        <f t="shared" si="24"/>
        <v>56365.828000000001</v>
      </c>
      <c r="X76" s="164">
        <f t="shared" si="24"/>
        <v>56365.828000000001</v>
      </c>
      <c r="Y76" s="164">
        <f t="shared" si="24"/>
        <v>56365.828000000001</v>
      </c>
      <c r="Z76" s="164">
        <f t="shared" si="24"/>
        <v>56365.828000000001</v>
      </c>
      <c r="AA76" s="164">
        <f t="shared" si="24"/>
        <v>56365.828000000001</v>
      </c>
      <c r="AB76" s="164">
        <f t="shared" si="24"/>
        <v>56365.828000000001</v>
      </c>
      <c r="AC76" s="164">
        <f t="shared" si="24"/>
        <v>56365.828000000001</v>
      </c>
      <c r="AD76" s="164">
        <f t="shared" si="24"/>
        <v>56365.828000000001</v>
      </c>
      <c r="AE76" s="164">
        <f t="shared" si="24"/>
        <v>56365.828000000001</v>
      </c>
      <c r="AF76" s="164">
        <f t="shared" si="24"/>
        <v>56365.828000000001</v>
      </c>
      <c r="AG76" s="108"/>
    </row>
    <row r="77" spans="1:33" x14ac:dyDescent="0.2">
      <c r="A77" s="172" t="s">
        <v>228</v>
      </c>
      <c r="B77" s="164">
        <f t="shared" ref="B77:AF77" si="25">B69</f>
        <v>0</v>
      </c>
      <c r="C77" s="164">
        <f t="shared" si="25"/>
        <v>0</v>
      </c>
      <c r="D77" s="164">
        <f t="shared" si="25"/>
        <v>0</v>
      </c>
      <c r="E77" s="164">
        <f t="shared" si="25"/>
        <v>0</v>
      </c>
      <c r="F77" s="164">
        <f t="shared" si="25"/>
        <v>0</v>
      </c>
      <c r="G77" s="164">
        <f t="shared" si="25"/>
        <v>0</v>
      </c>
      <c r="H77" s="164">
        <f t="shared" si="25"/>
        <v>0</v>
      </c>
      <c r="I77" s="164">
        <f t="shared" si="25"/>
        <v>0</v>
      </c>
      <c r="J77" s="164">
        <f t="shared" si="25"/>
        <v>0</v>
      </c>
      <c r="K77" s="164">
        <f t="shared" si="25"/>
        <v>0</v>
      </c>
      <c r="L77" s="164">
        <f t="shared" si="25"/>
        <v>0</v>
      </c>
      <c r="M77" s="164">
        <f t="shared" si="25"/>
        <v>0</v>
      </c>
      <c r="N77" s="164">
        <f t="shared" si="25"/>
        <v>0</v>
      </c>
      <c r="O77" s="164">
        <f t="shared" si="25"/>
        <v>0</v>
      </c>
      <c r="P77" s="164">
        <f t="shared" si="25"/>
        <v>0</v>
      </c>
      <c r="Q77" s="164">
        <f t="shared" si="25"/>
        <v>0</v>
      </c>
      <c r="R77" s="164">
        <f t="shared" si="25"/>
        <v>0</v>
      </c>
      <c r="S77" s="164">
        <f t="shared" si="25"/>
        <v>0</v>
      </c>
      <c r="T77" s="164">
        <f t="shared" si="25"/>
        <v>0</v>
      </c>
      <c r="U77" s="164">
        <f t="shared" si="25"/>
        <v>0</v>
      </c>
      <c r="V77" s="164">
        <f t="shared" si="25"/>
        <v>0</v>
      </c>
      <c r="W77" s="164">
        <f t="shared" si="25"/>
        <v>0</v>
      </c>
      <c r="X77" s="164">
        <f t="shared" si="25"/>
        <v>0</v>
      </c>
      <c r="Y77" s="164">
        <f t="shared" si="25"/>
        <v>0</v>
      </c>
      <c r="Z77" s="164">
        <f t="shared" si="25"/>
        <v>0</v>
      </c>
      <c r="AA77" s="164">
        <f t="shared" si="25"/>
        <v>0</v>
      </c>
      <c r="AB77" s="164">
        <f t="shared" si="25"/>
        <v>0</v>
      </c>
      <c r="AC77" s="164">
        <f t="shared" si="25"/>
        <v>0</v>
      </c>
      <c r="AD77" s="164">
        <f t="shared" si="25"/>
        <v>0</v>
      </c>
      <c r="AE77" s="164">
        <f t="shared" si="25"/>
        <v>0</v>
      </c>
      <c r="AF77" s="164">
        <f t="shared" si="25"/>
        <v>0</v>
      </c>
      <c r="AG77" s="108"/>
    </row>
    <row r="78" spans="1:33" x14ac:dyDescent="0.2">
      <c r="A78" s="172" t="s">
        <v>227</v>
      </c>
      <c r="B78" s="164">
        <f>IF(SUM($B$71:B71)+SUM($A$78:A78)&gt;0,0,SUM($B$71:B71)-SUM($A$78:A78))</f>
        <v>0</v>
      </c>
      <c r="C78" s="164">
        <f>IF(SUM($B$71:C71)+SUM($A$78:B78)&gt;0,0,SUM($B$71:C71)-SUM($A$78:B78))</f>
        <v>0</v>
      </c>
      <c r="D78" s="164">
        <f>IF(SUM($B$71:D71)+SUM($A$78:C78)&gt;0,0,SUM($B$71:D71)-SUM($A$78:C78))</f>
        <v>0</v>
      </c>
      <c r="E78" s="164">
        <f>IF(SUM($B$71:E71)+SUM($A$78:D78)&gt;0,0,SUM($B$71:E71)-SUM($A$78:D78))</f>
        <v>0</v>
      </c>
      <c r="F78" s="164">
        <f>IF(SUM($B$71:F71)+SUM($A$78:E78)&gt;0,0,SUM($B$71:F71)-SUM($A$78:E78))</f>
        <v>0</v>
      </c>
      <c r="G78" s="164">
        <f>IF(SUM($B$71:G71)+SUM($A$78:F78)&gt;0,0,SUM($B$71:G71)-SUM($A$78:F78))</f>
        <v>0</v>
      </c>
      <c r="H78" s="164">
        <f>IF(SUM($B$71:H71)+SUM($A$78:G78)&gt;0,0,SUM($B$71:H71)-SUM($A$78:G78))</f>
        <v>0</v>
      </c>
      <c r="I78" s="164">
        <f>IF(SUM($B$71:I71)+SUM($A$78:H78)&gt;0,0,SUM($B$71:I71)-SUM($A$78:H78))</f>
        <v>0</v>
      </c>
      <c r="J78" s="164">
        <f>IF(SUM($B$71:J71)+SUM($A$78:I78)&gt;0,0,SUM($B$71:J71)-SUM($A$78:I78))</f>
        <v>0</v>
      </c>
      <c r="K78" s="164">
        <f>IF(SUM($B$71:K71)+SUM($A$78:J78)&gt;0,0,SUM($B$71:K71)-SUM($A$78:J78))</f>
        <v>0</v>
      </c>
      <c r="L78" s="164">
        <f>IF(SUM($B$71:L71)+SUM($A$78:K78)&gt;0,0,SUM($B$71:L71)-SUM($A$78:K78))</f>
        <v>0</v>
      </c>
      <c r="M78" s="164">
        <f>IF(SUM($B$71:M71)+SUM($A$78:L78)&gt;0,0,SUM($B$71:M71)-SUM($A$78:L78))</f>
        <v>0</v>
      </c>
      <c r="N78" s="164">
        <f>IF(SUM($B$71:N71)+SUM($A$78:M78)&gt;0,0,SUM($B$71:N71)-SUM($A$78:M78))</f>
        <v>0</v>
      </c>
      <c r="O78" s="164">
        <f>IF(SUM($B$71:O71)+SUM($A$78:N78)&gt;0,0,SUM($B$71:O71)-SUM($A$78:N78))</f>
        <v>0</v>
      </c>
      <c r="P78" s="164">
        <f>IF(SUM($B$71:P71)+SUM($A$78:O78)&gt;0,0,SUM($B$71:P71)-SUM($A$78:O78))</f>
        <v>0</v>
      </c>
      <c r="Q78" s="164">
        <f>IF(SUM($B$71:Q71)+SUM($A$78:P78)&gt;0,0,SUM($B$71:Q71)-SUM($A$78:P78))</f>
        <v>0</v>
      </c>
      <c r="R78" s="164">
        <f>IF(SUM($B$71:R71)+SUM($A$78:Q78)&gt;0,0,SUM($B$71:R71)-SUM($A$78:Q78))</f>
        <v>0</v>
      </c>
      <c r="S78" s="164">
        <f>IF(SUM($B$71:S71)+SUM($A$78:R78)&gt;0,0,SUM($B$71:S71)-SUM($A$78:R78))</f>
        <v>0</v>
      </c>
      <c r="T78" s="164">
        <f>IF(SUM($B$71:T71)+SUM($A$78:S78)&gt;0,0,SUM($B$71:T71)-SUM($A$78:S78))</f>
        <v>0</v>
      </c>
      <c r="U78" s="164">
        <f>IF(SUM($B$71:U71)+SUM($A$78:T78)&gt;0,0,SUM($B$71:U71)-SUM($A$78:T78))</f>
        <v>0</v>
      </c>
      <c r="V78" s="164">
        <f>IF(SUM($B$71:V71)+SUM($A$78:U78)&gt;0,0,SUM($B$71:V71)-SUM($A$78:U78))</f>
        <v>0</v>
      </c>
      <c r="W78" s="164">
        <f>IF(SUM($B$71:W71)+SUM($A$78:V78)&gt;0,0,SUM($B$71:W71)-SUM($A$78:V78))</f>
        <v>0</v>
      </c>
      <c r="X78" s="164">
        <f>IF(SUM($B$71:X71)+SUM($A$78:W78)&gt;0,0,SUM($B$71:X71)-SUM($A$78:W78))</f>
        <v>0</v>
      </c>
      <c r="Y78" s="164">
        <f>IF(SUM($B$71:Y71)+SUM($A$78:X78)&gt;0,0,SUM($B$71:Y71)-SUM($A$78:X78))</f>
        <v>0</v>
      </c>
      <c r="Z78" s="164">
        <f>IF(SUM($B$71:Z71)+SUM($A$78:Y78)&gt;0,0,SUM($B$71:Z71)-SUM($A$78:Y78))</f>
        <v>0</v>
      </c>
      <c r="AA78" s="164">
        <f>IF(SUM($B$71:AA71)+SUM($A$78:Z78)&gt;0,0,SUM($B$71:AA71)-SUM($A$78:Z78))</f>
        <v>0</v>
      </c>
      <c r="AB78" s="164">
        <f>IF(SUM($B$71:AB71)+SUM($A$78:AA78)&gt;0,0,SUM($B$71:AB71)-SUM($A$78:AA78))</f>
        <v>0</v>
      </c>
      <c r="AC78" s="164">
        <f>IF(SUM($B$71:AC71)+SUM($A$78:AB78)&gt;0,0,SUM($B$71:AC71)-SUM($A$78:AB78))</f>
        <v>0</v>
      </c>
      <c r="AD78" s="164">
        <f>IF(SUM($B$71:AD71)+SUM($A$78:AC78)&gt;0,0,SUM($B$71:AD71)-SUM($A$78:AC78))</f>
        <v>0</v>
      </c>
      <c r="AE78" s="164">
        <f>IF(SUM($B$71:AE71)+SUM($A$78:AD78)&gt;0,0,SUM($B$71:AE71)-SUM($A$78:AD78))</f>
        <v>0</v>
      </c>
      <c r="AF78" s="164">
        <f>IF(SUM($B$71:AF71)+SUM($A$78:AE78)&gt;0,0,SUM($B$71:AF71)-SUM($A$78:AE78))</f>
        <v>0</v>
      </c>
      <c r="AG78" s="108"/>
    </row>
    <row r="79" spans="1:33" x14ac:dyDescent="0.2">
      <c r="A79" s="172" t="s">
        <v>226</v>
      </c>
      <c r="B79" s="164">
        <f>IF(((SUM($B$59:B59)+SUM($B$61:B64))+SUM($B$81:B81))&lt;0,((SUM($B$59:B59)+SUM($B$61:B64))+SUM($B$81:B81))*0.2-SUM($A$79:A79),IF(SUM(A$79:$B79)&lt;0,0-SUM(A$79:$B79),0))</f>
        <v>-338194.96800000005</v>
      </c>
      <c r="C79" s="164">
        <f>IF(((SUM($B$59:C59)+SUM($B$61:C64))+SUM($B$81:C81))&lt;0,((SUM($B$59:C59)+SUM($B$61:C64))+SUM($B$81:C81))*0.2-SUM($A$79:B79),IF(SUM(B$79:$B79)&lt;0,0-SUM(B$79:$B79),0))</f>
        <v>-3903.8609756044461</v>
      </c>
      <c r="D79" s="164">
        <f>IF(((SUM($B$59:D59)+SUM($B$61:D64))+SUM($B$81:D81))&lt;0,((SUM($B$59:D59)+SUM($B$61:D64))+SUM($B$81:D81))*0.2-SUM($A$79:C79),IF(SUM($B$79:C79)&lt;0,0-SUM($B$79:C79),0))</f>
        <v>-4087.3435073573492</v>
      </c>
      <c r="E79" s="164">
        <f>IF(((SUM($B$59:E59)+SUM($B$61:E64))+SUM($B$81:E81))&lt;0,((SUM($B$59:E59)+SUM($B$61:E64))+SUM($B$81:E81))*0.2-SUM($A$79:D79),IF(SUM($B$79:D79)&lt;0,0-SUM($B$79:D79),0))</f>
        <v>-4279.4497682001675</v>
      </c>
      <c r="F79" s="164">
        <f>IF(((SUM($B$59:F59)+SUM($B$61:F64))+SUM($B$81:F81))&lt;0,((SUM($B$59:F59)+SUM($B$61:F64))+SUM($B$81:F81))*0.2-SUM($A$79:E79),IF(SUM($B$79:E79)&lt;0,0-SUM($B$79:E79),0))</f>
        <v>-4480.5850757547305</v>
      </c>
      <c r="G79" s="164">
        <f>IF(((SUM($B$59:G59)+SUM($B$61:G64))+SUM($B$81:G81))&lt;0,((SUM($B$59:G59)+SUM($B$61:G64))+SUM($B$81:G81))*0.2-SUM($A$79:F79),IF(SUM($B$79:F79)&lt;0,0-SUM($B$79:F79),0))</f>
        <v>-4691.1737976819277</v>
      </c>
      <c r="H79" s="164">
        <f>IF(((SUM($B$59:H59)+SUM($B$61:H64))+SUM($B$81:H81))&lt;0,((SUM($B$59:H59)+SUM($B$61:H64))+SUM($B$81:H81))*0.2-SUM($A$79:G79),IF(SUM($B$79:G79)&lt;0,0-SUM($B$79:G79),0))</f>
        <v>-4911.6602470381185</v>
      </c>
      <c r="I79" s="164">
        <f>IF(((SUM($B$59:I59)+SUM($B$61:I64))+SUM($B$81:I81))&lt;0,((SUM($B$59:I59)+SUM($B$61:I64))+SUM($B$81:I81))*0.2-SUM($A$79:H79),IF(SUM($B$79:H79)&lt;0,0-SUM($B$79:H79),0))</f>
        <v>-5142.5096197150997</v>
      </c>
      <c r="J79" s="164">
        <f>IF(((SUM($B$59:J59)+SUM($B$61:J64))+SUM($B$81:J81))&lt;0,((SUM($B$59:J59)+SUM($B$61:J64))+SUM($B$81:J81))*0.2-SUM($A$79:I79),IF(SUM($B$79:I79)&lt;0,0-SUM($B$79:I79),0))</f>
        <v>-5384.2089759383816</v>
      </c>
      <c r="K79" s="164">
        <f>IF(((SUM($B$59:K59)+SUM($B$61:K64))+SUM($B$81:K81))&lt;0,((SUM($B$59:K59)+SUM($B$61:K64))+SUM($B$81:K81))*0.2-SUM($A$79:J79),IF(SUM($B$79:J79)&lt;0,0-SUM($B$79:J79),0))</f>
        <v>-5637.2682678971323</v>
      </c>
      <c r="L79" s="164">
        <f>IF(((SUM($B$59:L59)+SUM($B$61:L64))+SUM($B$81:L81))&lt;0,((SUM($B$59:L59)+SUM($B$61:L64))+SUM($B$81:L81))*0.2-SUM($A$79:K79),IF(SUM($B$79:K79)&lt;0,0-SUM($B$79:K79),0))</f>
        <v>-5902.2214156725095</v>
      </c>
      <c r="M79" s="164">
        <f>IF(((SUM($B$59:M59)+SUM($B$61:M64))+SUM($B$81:M81))&lt;0,((SUM($B$59:M59)+SUM($B$61:M64))+SUM($B$81:M81))*0.2-SUM($A$79:L79),IF(SUM($B$79:L79)&lt;0,0-SUM($B$79:L79),0))</f>
        <v>-6179.6274337354698</v>
      </c>
      <c r="N79" s="164">
        <f>IF(((SUM($B$59:N59)+SUM($B$61:N64))+SUM($B$81:N81))&lt;0,((SUM($B$59:N59)+SUM($B$61:N64))+SUM($B$81:N81))*0.2-SUM($A$79:M79),IF(SUM($B$79:M79)&lt;0,0-SUM($B$79:M79),0))</f>
        <v>-6470.071610389452</v>
      </c>
      <c r="O79" s="164">
        <f>IF(((SUM($B$59:O59)+SUM($B$61:O64))+SUM($B$81:O81))&lt;0,((SUM($B$59:O59)+SUM($B$61:O64))+SUM($B$81:O81))*0.2-SUM($A$79:N79),IF(SUM($B$79:N79)&lt;0,0-SUM($B$79:N79),0))</f>
        <v>-6774.1667426482891</v>
      </c>
      <c r="P79" s="164">
        <f>IF(((SUM($B$59:P59)+SUM($B$61:P64))+SUM($B$81:P81))&lt;0,((SUM($B$59:P59)+SUM($B$61:P64))+SUM($B$81:P81))*0.2-SUM($A$79:O79),IF(SUM($B$79:O79)&lt;0,0-SUM($B$79:O79),0))</f>
        <v>-7092.5544291526894</v>
      </c>
      <c r="Q79" s="164">
        <f>IF(((SUM($B$59:Q59)+SUM($B$61:Q64))+SUM($B$81:Q81))&lt;0,((SUM($B$59:Q59)+SUM($B$61:Q64))+SUM($B$81:Q81))*0.2-SUM($A$79:P79),IF(SUM($B$79:P79)&lt;0,0-SUM($B$79:P79),0))</f>
        <v>-7425.906423854467</v>
      </c>
      <c r="R79" s="164">
        <f>IF(((SUM($B$59:R59)+SUM($B$61:R64))+SUM($B$81:R81))&lt;0,((SUM($B$59:R59)+SUM($B$61:R64))+SUM($B$81:R81))*0.2-SUM($A$79:Q79),IF(SUM($B$79:Q79)&lt;0,0-SUM($B$79:Q79),0))</f>
        <v>-7774.9260533244815</v>
      </c>
      <c r="S79" s="164">
        <f>IF(((SUM($B$59:S59)+SUM($B$61:S64))+SUM($B$81:S81))&lt;0,((SUM($B$59:S59)+SUM($B$61:S64))+SUM($B$81:S81))*0.2-SUM($A$79:R79),IF(SUM($B$79:R79)&lt;0,0-SUM($B$79:R79),0))</f>
        <v>-8140.349700675346</v>
      </c>
      <c r="T79" s="164">
        <f>IF(((SUM($B$59:T59)+SUM($B$61:T64))+SUM($B$81:T81))&lt;0,((SUM($B$59:T59)+SUM($B$61:T64))+SUM($B$81:T81))*0.2-SUM($A$79:S79),IF(SUM($B$79:S79)&lt;0,0-SUM($B$79:S79),0))</f>
        <v>-8522.9483592258184</v>
      </c>
      <c r="U79" s="164">
        <f>IF(((SUM($B$59:U59)+SUM($B$61:U64))+SUM($B$81:U81))&lt;0,((SUM($B$59:U59)+SUM($B$61:U64))+SUM($B$81:U81))*0.2-SUM($A$79:T79),IF(SUM($B$79:T79)&lt;0,0-SUM($B$79:T79),0))</f>
        <v>-8923.5292591917096</v>
      </c>
      <c r="V79" s="164">
        <f>IF(((SUM($B$59:V59)+SUM($B$61:V64))+SUM($B$81:V81))&lt;0,((SUM($B$59:V59)+SUM($B$61:V64))+SUM($B$81:V81))*0.2-SUM($A$79:U79),IF(SUM($B$79:U79)&lt;0,0-SUM($B$79:U79),0))</f>
        <v>-9342.9375708295847</v>
      </c>
      <c r="W79" s="164">
        <f>IF(((SUM($B$59:W59)+SUM($B$61:W64))+SUM($B$81:W81))&lt;0,((SUM($B$59:W59)+SUM($B$61:W64))+SUM($B$81:W81))*0.2-SUM($A$79:V79),IF(SUM($B$79:V79)&lt;0,0-SUM($B$79:V79),0))</f>
        <v>-9782.0581876286305</v>
      </c>
      <c r="X79" s="164">
        <f>IF(((SUM($B$59:X59)+SUM($B$61:X64))+SUM($B$81:X81))&lt;0,((SUM($B$59:X59)+SUM($B$61:X64))+SUM($B$81:X81))*0.2-SUM($A$79:W79),IF(SUM($B$79:W79)&lt;0,0-SUM($B$79:W79),0))</f>
        <v>-10241.817593313404</v>
      </c>
      <c r="Y79" s="164">
        <f>IF(((SUM($B$59:Y59)+SUM($B$61:Y64))+SUM($B$81:Y81))&lt;0,((SUM($B$59:Y59)+SUM($B$61:Y64))+SUM($B$81:Y81))*0.2-SUM($A$79:X79),IF(SUM($B$79:X79)&lt;0,0-SUM($B$79:X79),0))</f>
        <v>-10723.185816596902</v>
      </c>
      <c r="Z79" s="164">
        <f>IF(((SUM($B$59:Z59)+SUM($B$61:Z64))+SUM($B$81:Z81))&lt;0,((SUM($B$59:Z59)+SUM($B$61:Z64))+SUM($B$81:Z81))*0.2-SUM($A$79:Y79),IF(SUM($B$79:Y79)&lt;0,0-SUM($B$79:Y79),0))</f>
        <v>-11227.178477806156</v>
      </c>
      <c r="AA79" s="164">
        <f>IF(((SUM($B$59:AA59)+SUM($B$61:AA64))+SUM($B$81:AA81))&lt;0,((SUM($B$59:AA59)+SUM($B$61:AA64))+SUM($B$81:AA81))*0.2-SUM($A$79:Z79),IF(SUM($B$79:Z79)&lt;0,0-SUM($B$79:Z79),0))</f>
        <v>-11754.858931700874</v>
      </c>
      <c r="AB79" s="164">
        <f>IF(((SUM($B$59:AB59)+SUM($B$61:AB64))+SUM($B$81:AB81))&lt;0,((SUM($B$59:AB59)+SUM($B$61:AB64))+SUM($B$81:AB81))*0.2-SUM($A$79:AA79),IF(SUM($B$79:AA79)&lt;0,0-SUM($B$79:AA79),0))</f>
        <v>-12307.340511005139</v>
      </c>
      <c r="AC79" s="164">
        <f>IF(((SUM($B$59:AC59)+SUM($B$61:AC64))+SUM($B$81:AC81))&lt;0,((SUM($B$59:AC59)+SUM($B$61:AC64))+SUM($B$81:AC81))*0.2-SUM($A$79:AB79),IF(SUM($B$79:AB79)&lt;0,0-SUM($B$79:AB79),0))</f>
        <v>-12885.788875384955</v>
      </c>
      <c r="AD79" s="164">
        <f>IF(((SUM($B$59:AD59)+SUM($B$61:AD64))+SUM($B$81:AD81))&lt;0,((SUM($B$59:AD59)+SUM($B$61:AD64))+SUM($B$81:AD81))*0.2-SUM($A$79:AC79),IF(SUM($B$79:AC79)&lt;0,0-SUM($B$79:AC79),0))</f>
        <v>-13491.424470828264</v>
      </c>
      <c r="AE79" s="164">
        <f>IF(((SUM($B$59:AE59)+SUM($B$61:AE64))+SUM($B$81:AE81))&lt;0,((SUM($B$59:AE59)+SUM($B$61:AE64))+SUM($B$81:AE81))*0.2-SUM($A$79:AD79),IF(SUM($B$79:AD79)&lt;0,0-SUM($B$79:AD79),0))</f>
        <v>-14125.525104618748</v>
      </c>
      <c r="AF79" s="164">
        <f>IF(((SUM($B$59:AF59)+SUM($B$61:AF64))+SUM($B$81:AF81))&lt;0,((SUM($B$59:AF59)+SUM($B$61:AF64))+SUM($B$81:AF81))*0.2-SUM($A$79:AE79),IF(SUM($B$79:AE79)&lt;0,0-SUM($B$79:AE79),0))</f>
        <v>-14789.428641330218</v>
      </c>
      <c r="AG79" s="108"/>
    </row>
    <row r="80" spans="1:33" x14ac:dyDescent="0.2">
      <c r="A80" s="172" t="s">
        <v>225</v>
      </c>
      <c r="B80" s="164">
        <f>-B59*(B39)</f>
        <v>0</v>
      </c>
      <c r="C80" s="164">
        <f t="shared" ref="C80:AF80" si="26">-(C59-B59)*$B$39</f>
        <v>0</v>
      </c>
      <c r="D80" s="164">
        <f t="shared" si="26"/>
        <v>0</v>
      </c>
      <c r="E80" s="164">
        <f t="shared" si="26"/>
        <v>0</v>
      </c>
      <c r="F80" s="164">
        <f t="shared" si="26"/>
        <v>0</v>
      </c>
      <c r="G80" s="164">
        <f t="shared" si="26"/>
        <v>0</v>
      </c>
      <c r="H80" s="164">
        <f t="shared" si="26"/>
        <v>0</v>
      </c>
      <c r="I80" s="164">
        <f t="shared" si="26"/>
        <v>0</v>
      </c>
      <c r="J80" s="164">
        <f t="shared" si="26"/>
        <v>0</v>
      </c>
      <c r="K80" s="164">
        <f t="shared" si="26"/>
        <v>0</v>
      </c>
      <c r="L80" s="164">
        <f t="shared" si="26"/>
        <v>0</v>
      </c>
      <c r="M80" s="164">
        <f t="shared" si="26"/>
        <v>0</v>
      </c>
      <c r="N80" s="164">
        <f t="shared" si="26"/>
        <v>0</v>
      </c>
      <c r="O80" s="164">
        <f t="shared" si="26"/>
        <v>0</v>
      </c>
      <c r="P80" s="164">
        <f t="shared" si="26"/>
        <v>0</v>
      </c>
      <c r="Q80" s="164">
        <f t="shared" si="26"/>
        <v>0</v>
      </c>
      <c r="R80" s="164">
        <f t="shared" si="26"/>
        <v>0</v>
      </c>
      <c r="S80" s="164">
        <f t="shared" si="26"/>
        <v>0</v>
      </c>
      <c r="T80" s="164">
        <f t="shared" si="26"/>
        <v>0</v>
      </c>
      <c r="U80" s="164">
        <f t="shared" si="26"/>
        <v>0</v>
      </c>
      <c r="V80" s="164">
        <f t="shared" si="26"/>
        <v>0</v>
      </c>
      <c r="W80" s="164">
        <f t="shared" si="26"/>
        <v>0</v>
      </c>
      <c r="X80" s="164">
        <f t="shared" si="26"/>
        <v>0</v>
      </c>
      <c r="Y80" s="164">
        <f t="shared" si="26"/>
        <v>0</v>
      </c>
      <c r="Z80" s="164">
        <f t="shared" si="26"/>
        <v>0</v>
      </c>
      <c r="AA80" s="164">
        <f t="shared" si="26"/>
        <v>0</v>
      </c>
      <c r="AB80" s="164">
        <f t="shared" si="26"/>
        <v>0</v>
      </c>
      <c r="AC80" s="164">
        <f t="shared" si="26"/>
        <v>0</v>
      </c>
      <c r="AD80" s="164">
        <f t="shared" si="26"/>
        <v>0</v>
      </c>
      <c r="AE80" s="164">
        <f t="shared" si="26"/>
        <v>0</v>
      </c>
      <c r="AF80" s="164">
        <f t="shared" si="26"/>
        <v>0</v>
      </c>
      <c r="AG80" s="108"/>
    </row>
    <row r="81" spans="1:33" x14ac:dyDescent="0.2">
      <c r="A81" s="172" t="s">
        <v>566</v>
      </c>
      <c r="B81" s="164">
        <f>'6.2. Паспорт фин осв ввод'!P30*-1*1000000</f>
        <v>-1690974.84</v>
      </c>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08"/>
    </row>
    <row r="82" spans="1:33" x14ac:dyDescent="0.2">
      <c r="A82" s="172" t="s">
        <v>224</v>
      </c>
      <c r="B82" s="164">
        <f t="shared" ref="B82:AF82" si="27">B54-B55</f>
        <v>0</v>
      </c>
      <c r="C82" s="164">
        <f t="shared" si="27"/>
        <v>0</v>
      </c>
      <c r="D82" s="164">
        <f t="shared" si="27"/>
        <v>0</v>
      </c>
      <c r="E82" s="164">
        <f t="shared" si="27"/>
        <v>0</v>
      </c>
      <c r="F82" s="164">
        <f t="shared" si="27"/>
        <v>0</v>
      </c>
      <c r="G82" s="164">
        <f t="shared" si="27"/>
        <v>0</v>
      </c>
      <c r="H82" s="164">
        <f t="shared" si="27"/>
        <v>0</v>
      </c>
      <c r="I82" s="164">
        <f t="shared" si="27"/>
        <v>0</v>
      </c>
      <c r="J82" s="164">
        <f t="shared" si="27"/>
        <v>0</v>
      </c>
      <c r="K82" s="164">
        <f t="shared" si="27"/>
        <v>0</v>
      </c>
      <c r="L82" s="164">
        <f t="shared" si="27"/>
        <v>0</v>
      </c>
      <c r="M82" s="164">
        <f t="shared" si="27"/>
        <v>0</v>
      </c>
      <c r="N82" s="164">
        <f t="shared" si="27"/>
        <v>0</v>
      </c>
      <c r="O82" s="164">
        <f t="shared" si="27"/>
        <v>0</v>
      </c>
      <c r="P82" s="164">
        <f t="shared" si="27"/>
        <v>0</v>
      </c>
      <c r="Q82" s="164">
        <f t="shared" si="27"/>
        <v>0</v>
      </c>
      <c r="R82" s="164">
        <f t="shared" si="27"/>
        <v>0</v>
      </c>
      <c r="S82" s="164">
        <f t="shared" si="27"/>
        <v>0</v>
      </c>
      <c r="T82" s="164">
        <f t="shared" si="27"/>
        <v>0</v>
      </c>
      <c r="U82" s="164">
        <f t="shared" si="27"/>
        <v>0</v>
      </c>
      <c r="V82" s="164">
        <f t="shared" si="27"/>
        <v>0</v>
      </c>
      <c r="W82" s="164">
        <f t="shared" si="27"/>
        <v>0</v>
      </c>
      <c r="X82" s="164">
        <f t="shared" si="27"/>
        <v>0</v>
      </c>
      <c r="Y82" s="164">
        <f t="shared" si="27"/>
        <v>0</v>
      </c>
      <c r="Z82" s="164">
        <f t="shared" si="27"/>
        <v>0</v>
      </c>
      <c r="AA82" s="164">
        <f t="shared" si="27"/>
        <v>0</v>
      </c>
      <c r="AB82" s="164">
        <f t="shared" si="27"/>
        <v>0</v>
      </c>
      <c r="AC82" s="164">
        <f t="shared" si="27"/>
        <v>0</v>
      </c>
      <c r="AD82" s="164">
        <f t="shared" si="27"/>
        <v>0</v>
      </c>
      <c r="AE82" s="164">
        <f t="shared" si="27"/>
        <v>0</v>
      </c>
      <c r="AF82" s="164">
        <f t="shared" si="27"/>
        <v>0</v>
      </c>
      <c r="AG82" s="108"/>
    </row>
    <row r="83" spans="1:33" ht="14.25" x14ac:dyDescent="0.2">
      <c r="A83" s="173" t="s">
        <v>223</v>
      </c>
      <c r="B83" s="171">
        <f>SUM(B75:B82)</f>
        <v>-2029169.8080000002</v>
      </c>
      <c r="C83" s="171">
        <f t="shared" ref="C83:V83" si="28">SUM(C75:C82)</f>
        <v>-23423.165853626757</v>
      </c>
      <c r="D83" s="171">
        <f t="shared" si="28"/>
        <v>-24524.061044144044</v>
      </c>
      <c r="E83" s="171">
        <f t="shared" si="28"/>
        <v>-25676.698609200983</v>
      </c>
      <c r="F83" s="171">
        <f t="shared" si="28"/>
        <v>-26883.510454528565</v>
      </c>
      <c r="G83" s="171">
        <f t="shared" si="28"/>
        <v>-28147.042786091282</v>
      </c>
      <c r="H83" s="171">
        <f t="shared" si="28"/>
        <v>-29469.961482228675</v>
      </c>
      <c r="I83" s="171">
        <f t="shared" si="28"/>
        <v>-30855.057718290649</v>
      </c>
      <c r="J83" s="171">
        <f t="shared" si="28"/>
        <v>-32305.253855630399</v>
      </c>
      <c r="K83" s="171">
        <f t="shared" si="28"/>
        <v>-33823.609607382743</v>
      </c>
      <c r="L83" s="171">
        <f t="shared" si="28"/>
        <v>-35413.328494035079</v>
      </c>
      <c r="M83" s="171">
        <f t="shared" si="28"/>
        <v>-37077.764602412593</v>
      </c>
      <c r="N83" s="171">
        <f t="shared" si="28"/>
        <v>-38820.429662336806</v>
      </c>
      <c r="O83" s="171">
        <f t="shared" si="28"/>
        <v>-40645.000455889975</v>
      </c>
      <c r="P83" s="171">
        <f t="shared" si="28"/>
        <v>-42555.326574916027</v>
      </c>
      <c r="Q83" s="171">
        <f t="shared" si="28"/>
        <v>-44555.43854312646</v>
      </c>
      <c r="R83" s="171">
        <f t="shared" si="28"/>
        <v>-46649.556319947609</v>
      </c>
      <c r="S83" s="171">
        <f t="shared" si="28"/>
        <v>-48842.098204051908</v>
      </c>
      <c r="T83" s="171">
        <f t="shared" si="28"/>
        <v>-51137.690155354569</v>
      </c>
      <c r="U83" s="171">
        <f t="shared" si="28"/>
        <v>-53541.17555515041</v>
      </c>
      <c r="V83" s="171">
        <f t="shared" si="28"/>
        <v>-56057.625424977807</v>
      </c>
      <c r="W83" s="171">
        <f>SUM(W75:W82)</f>
        <v>-58692.349125771732</v>
      </c>
      <c r="X83" s="171">
        <f>SUM(X75:X82)</f>
        <v>-61450.905559880564</v>
      </c>
      <c r="Y83" s="171">
        <f>SUM(Y75:Y82)</f>
        <v>-64339.114899581276</v>
      </c>
      <c r="Z83" s="171">
        <f>SUM(Z75:Z82)</f>
        <v>-67363.070866836613</v>
      </c>
      <c r="AA83" s="171">
        <f t="shared" ref="AA83:AF83" si="29">SUM(AA75:AA82)</f>
        <v>-70529.153590205475</v>
      </c>
      <c r="AB83" s="171">
        <f t="shared" si="29"/>
        <v>-73844.043066031241</v>
      </c>
      <c r="AC83" s="171">
        <f t="shared" si="29"/>
        <v>-77314.733252309321</v>
      </c>
      <c r="AD83" s="171">
        <f t="shared" si="29"/>
        <v>-80948.546824969875</v>
      </c>
      <c r="AE83" s="171">
        <f t="shared" si="29"/>
        <v>-84753.150627712195</v>
      </c>
      <c r="AF83" s="171">
        <f t="shared" si="29"/>
        <v>-88736.571847981715</v>
      </c>
      <c r="AG83" s="108"/>
    </row>
    <row r="84" spans="1:33" ht="14.25" x14ac:dyDescent="0.2">
      <c r="A84" s="173" t="s">
        <v>420</v>
      </c>
      <c r="B84" s="171">
        <f>SUM($B$83:B83)</f>
        <v>-2029169.8080000002</v>
      </c>
      <c r="C84" s="171">
        <f>SUM($B$83:C83)</f>
        <v>-2052592.973853627</v>
      </c>
      <c r="D84" s="171">
        <f>SUM($B$83:D83)</f>
        <v>-2077117.034897771</v>
      </c>
      <c r="E84" s="171">
        <f>SUM($B$83:E83)</f>
        <v>-2102793.733506972</v>
      </c>
      <c r="F84" s="171">
        <f>SUM($B$83:F83)</f>
        <v>-2129677.2439615005</v>
      </c>
      <c r="G84" s="171">
        <f>SUM($B$83:G83)</f>
        <v>-2157824.2867475916</v>
      </c>
      <c r="H84" s="171">
        <f>SUM($B$83:H83)</f>
        <v>-2187294.2482298203</v>
      </c>
      <c r="I84" s="171">
        <f>SUM($B$83:I83)</f>
        <v>-2218149.3059481108</v>
      </c>
      <c r="J84" s="171">
        <f>SUM($B$83:J83)</f>
        <v>-2250454.5598037411</v>
      </c>
      <c r="K84" s="171">
        <f>SUM($B$83:K83)</f>
        <v>-2284278.1694111237</v>
      </c>
      <c r="L84" s="171">
        <f>SUM($B$83:L83)</f>
        <v>-2319691.4979051589</v>
      </c>
      <c r="M84" s="171">
        <f>SUM($B$83:M83)</f>
        <v>-2356769.2625075714</v>
      </c>
      <c r="N84" s="171">
        <f>SUM($B$83:N83)</f>
        <v>-2395589.692169908</v>
      </c>
      <c r="O84" s="171">
        <f>SUM($B$83:O83)</f>
        <v>-2436234.6926257978</v>
      </c>
      <c r="P84" s="171">
        <f>SUM($B$83:P83)</f>
        <v>-2478790.0192007138</v>
      </c>
      <c r="Q84" s="171">
        <f>SUM($B$83:Q83)</f>
        <v>-2523345.4577438403</v>
      </c>
      <c r="R84" s="171">
        <f>SUM($B$83:R83)</f>
        <v>-2569995.0140637881</v>
      </c>
      <c r="S84" s="171">
        <f>SUM($B$83:S83)</f>
        <v>-2618837.1122678402</v>
      </c>
      <c r="T84" s="171">
        <f>SUM($B$83:T83)</f>
        <v>-2669974.802423195</v>
      </c>
      <c r="U84" s="171">
        <f>SUM($B$83:U83)</f>
        <v>-2723515.9779783455</v>
      </c>
      <c r="V84" s="171">
        <f>SUM($B$83:V83)</f>
        <v>-2779573.6034033233</v>
      </c>
      <c r="W84" s="171">
        <f>SUM($B$83:W83)</f>
        <v>-2838265.9525290951</v>
      </c>
      <c r="X84" s="171">
        <f>SUM($B$83:X83)</f>
        <v>-2899716.8580889758</v>
      </c>
      <c r="Y84" s="171">
        <f>SUM($B$83:Y83)</f>
        <v>-2964055.9729885571</v>
      </c>
      <c r="Z84" s="171">
        <f>SUM($B$83:Z83)</f>
        <v>-3031419.0438553938</v>
      </c>
      <c r="AA84" s="171">
        <f>SUM($B$83:AA83)</f>
        <v>-3101948.1974455994</v>
      </c>
      <c r="AB84" s="171">
        <f>SUM($B$83:AB83)</f>
        <v>-3175792.2405116307</v>
      </c>
      <c r="AC84" s="171">
        <f>SUM($B$83:AC83)</f>
        <v>-3253106.9737639399</v>
      </c>
      <c r="AD84" s="171">
        <f>SUM($B$83:AD83)</f>
        <v>-3334055.5205889097</v>
      </c>
      <c r="AE84" s="171">
        <f>SUM($B$83:AE83)</f>
        <v>-3418808.671216622</v>
      </c>
      <c r="AF84" s="171">
        <f>SUM($B$83:AF83)</f>
        <v>-3507545.2430646038</v>
      </c>
      <c r="AG84" s="108"/>
    </row>
    <row r="85" spans="1:33" x14ac:dyDescent="0.2">
      <c r="A85" s="172" t="s">
        <v>405</v>
      </c>
      <c r="B85" s="179">
        <f t="shared" ref="B85:AF85" si="30">1/POWER((1+$B$44),B73)</f>
        <v>0.83249634370229864</v>
      </c>
      <c r="C85" s="179">
        <f t="shared" si="30"/>
        <v>0.73672242805513155</v>
      </c>
      <c r="D85" s="179">
        <f t="shared" si="30"/>
        <v>0.65196675049126696</v>
      </c>
      <c r="E85" s="179">
        <f t="shared" si="30"/>
        <v>0.57696172609846641</v>
      </c>
      <c r="F85" s="179">
        <f t="shared" si="30"/>
        <v>0.51058559831722694</v>
      </c>
      <c r="G85" s="179">
        <f t="shared" si="30"/>
        <v>0.45184566222763445</v>
      </c>
      <c r="H85" s="179">
        <f t="shared" si="30"/>
        <v>0.39986341790056151</v>
      </c>
      <c r="I85" s="179">
        <f t="shared" si="30"/>
        <v>0.35386143177040841</v>
      </c>
      <c r="J85" s="179">
        <f t="shared" si="30"/>
        <v>0.31315170953133498</v>
      </c>
      <c r="K85" s="179">
        <f t="shared" si="30"/>
        <v>0.27712540666489821</v>
      </c>
      <c r="L85" s="179">
        <f t="shared" si="30"/>
        <v>0.24524372271229933</v>
      </c>
      <c r="M85" s="179">
        <f t="shared" si="30"/>
        <v>0.21702984310822954</v>
      </c>
      <c r="N85" s="179">
        <f t="shared" si="30"/>
        <v>0.19206180806038009</v>
      </c>
      <c r="O85" s="179">
        <f t="shared" si="30"/>
        <v>0.16996620182334526</v>
      </c>
      <c r="P85" s="179">
        <f t="shared" si="30"/>
        <v>0.15041256798526129</v>
      </c>
      <c r="Q85" s="179">
        <f t="shared" si="30"/>
        <v>0.13310846724359404</v>
      </c>
      <c r="R85" s="179">
        <f t="shared" si="30"/>
        <v>0.11779510375539298</v>
      </c>
      <c r="S85" s="179">
        <f t="shared" si="30"/>
        <v>0.10424345465079028</v>
      </c>
      <c r="T85" s="179">
        <f t="shared" si="30"/>
        <v>9.2250844823708225E-2</v>
      </c>
      <c r="U85" s="179">
        <f t="shared" si="30"/>
        <v>8.163791577319314E-2</v>
      </c>
      <c r="V85" s="179">
        <f t="shared" si="30"/>
        <v>7.2245943162117798E-2</v>
      </c>
      <c r="W85" s="179">
        <f t="shared" si="30"/>
        <v>6.3934462975325498E-2</v>
      </c>
      <c r="X85" s="179">
        <f t="shared" si="30"/>
        <v>5.6579170774624342E-2</v>
      </c>
      <c r="Y85" s="179">
        <f t="shared" si="30"/>
        <v>5.0070062632410935E-2</v>
      </c>
      <c r="Z85" s="179">
        <f t="shared" si="30"/>
        <v>4.4309789940186653E-2</v>
      </c>
      <c r="AA85" s="179">
        <f t="shared" si="30"/>
        <v>3.9212203486890855E-2</v>
      </c>
      <c r="AB85" s="179">
        <f t="shared" si="30"/>
        <v>3.4701065032646777E-2</v>
      </c>
      <c r="AC85" s="179">
        <f t="shared" si="30"/>
        <v>3.0708907108536979E-2</v>
      </c>
      <c r="AD85" s="179">
        <f t="shared" si="30"/>
        <v>2.7176023989855736E-2</v>
      </c>
      <c r="AE85" s="179">
        <f t="shared" si="30"/>
        <v>2.4049578752084716E-2</v>
      </c>
      <c r="AF85" s="179">
        <f t="shared" si="30"/>
        <v>2.1282813054942232E-2</v>
      </c>
      <c r="AG85" s="108"/>
    </row>
    <row r="86" spans="1:33" ht="28.5" x14ac:dyDescent="0.2">
      <c r="A86" s="170" t="s">
        <v>421</v>
      </c>
      <c r="B86" s="171">
        <f>B83*B85</f>
        <v>-1689276.4459110955</v>
      </c>
      <c r="C86" s="171">
        <f>C83*C85</f>
        <v>-17256.371620421953</v>
      </c>
      <c r="D86" s="171">
        <f t="shared" ref="D86:AF86" si="31">D83*D85</f>
        <v>-15988.87238780006</v>
      </c>
      <c r="E86" s="171">
        <f t="shared" si="31"/>
        <v>-14814.472350074691</v>
      </c>
      <c r="F86" s="171">
        <f t="shared" si="31"/>
        <v>-13726.333270292893</v>
      </c>
      <c r="G86" s="171">
        <f t="shared" si="31"/>
        <v>-12718.119187430977</v>
      </c>
      <c r="H86" s="171">
        <f t="shared" si="31"/>
        <v>-11783.959523681855</v>
      </c>
      <c r="I86" s="171">
        <f t="shared" si="31"/>
        <v>-10918.41490155292</v>
      </c>
      <c r="J86" s="171">
        <f t="shared" si="31"/>
        <v>-10116.445471734411</v>
      </c>
      <c r="K86" s="171">
        <f t="shared" si="31"/>
        <v>-9373.3815673207009</v>
      </c>
      <c r="L86" s="171">
        <f t="shared" si="31"/>
        <v>-8684.8965135107082</v>
      </c>
      <c r="M86" s="171">
        <f t="shared" si="31"/>
        <v>-8046.9814344654715</v>
      </c>
      <c r="N86" s="171">
        <f t="shared" si="31"/>
        <v>-7455.9219106292176</v>
      </c>
      <c r="O86" s="171">
        <f t="shared" si="31"/>
        <v>-6908.2763505957555</v>
      </c>
      <c r="P86" s="171">
        <f t="shared" si="31"/>
        <v>-6400.8559515845536</v>
      </c>
      <c r="Q86" s="171">
        <f t="shared" si="31"/>
        <v>-5930.7061318417154</v>
      </c>
      <c r="R86" s="171">
        <f t="shared" si="31"/>
        <v>-5495.0893268512773</v>
      </c>
      <c r="S86" s="171">
        <f t="shared" si="31"/>
        <v>-5091.4690491835308</v>
      </c>
      <c r="T86" s="171">
        <f t="shared" si="31"/>
        <v>-4717.4951191644859</v>
      </c>
      <c r="U86" s="171">
        <f t="shared" si="31"/>
        <v>-4370.9899803691169</v>
      </c>
      <c r="V86" s="171">
        <f t="shared" si="31"/>
        <v>-4049.9360202562361</v>
      </c>
      <c r="W86" s="171">
        <f t="shared" si="31"/>
        <v>-3752.4638221165305</v>
      </c>
      <c r="X86" s="171">
        <f t="shared" si="31"/>
        <v>-3476.8412799277949</v>
      </c>
      <c r="Y86" s="171">
        <f t="shared" si="31"/>
        <v>-3221.4635127359179</v>
      </c>
      <c r="Z86" s="171">
        <f t="shared" si="31"/>
        <v>-2984.8435198354377</v>
      </c>
      <c r="AA86" s="171">
        <f t="shared" si="31"/>
        <v>-2765.603522337316</v>
      </c>
      <c r="AB86" s="171">
        <f t="shared" si="31"/>
        <v>-2562.4669407079195</v>
      </c>
      <c r="AC86" s="171">
        <f t="shared" si="31"/>
        <v>-2374.2509615664821</v>
      </c>
      <c r="AD86" s="171">
        <f t="shared" si="31"/>
        <v>-2199.8596504593415</v>
      </c>
      <c r="AE86" s="171">
        <f t="shared" si="31"/>
        <v>-2038.2775705084625</v>
      </c>
      <c r="AF86" s="171">
        <f t="shared" si="31"/>
        <v>-1888.5638697770446</v>
      </c>
      <c r="AG86" s="108"/>
    </row>
    <row r="87" spans="1:33" ht="14.25" x14ac:dyDescent="0.2">
      <c r="A87" s="170" t="s">
        <v>422</v>
      </c>
      <c r="B87" s="171">
        <f>SUM($B$86:B86)</f>
        <v>-1689276.4459110955</v>
      </c>
      <c r="C87" s="171">
        <f>SUM($B$86:C86)</f>
        <v>-1706532.8175315175</v>
      </c>
      <c r="D87" s="171">
        <f>SUM($B$86:D86)</f>
        <v>-1722521.6899193176</v>
      </c>
      <c r="E87" s="171">
        <f>SUM($B$86:E86)</f>
        <v>-1737336.1622693923</v>
      </c>
      <c r="F87" s="171">
        <f>SUM($B$86:F86)</f>
        <v>-1751062.4955396852</v>
      </c>
      <c r="G87" s="171">
        <f>SUM($B$86:G86)</f>
        <v>-1763780.6147271162</v>
      </c>
      <c r="H87" s="171">
        <f>SUM($B$86:H86)</f>
        <v>-1775564.574250798</v>
      </c>
      <c r="I87" s="171">
        <f>SUM($B$86:I86)</f>
        <v>-1786482.9891523509</v>
      </c>
      <c r="J87" s="171">
        <f>SUM($B$86:J86)</f>
        <v>-1796599.4346240854</v>
      </c>
      <c r="K87" s="171">
        <f>SUM($B$86:K86)</f>
        <v>-1805972.8161914062</v>
      </c>
      <c r="L87" s="171">
        <f>SUM($B$86:L86)</f>
        <v>-1814657.712704917</v>
      </c>
      <c r="M87" s="171">
        <f>SUM($B$86:M86)</f>
        <v>-1822704.6941393823</v>
      </c>
      <c r="N87" s="171">
        <f>SUM($B$86:N86)</f>
        <v>-1830160.6160500115</v>
      </c>
      <c r="O87" s="171">
        <f>SUM($B$86:O86)</f>
        <v>-1837068.8924006072</v>
      </c>
      <c r="P87" s="171">
        <f>SUM($B$86:P86)</f>
        <v>-1843469.7483521919</v>
      </c>
      <c r="Q87" s="171">
        <f>SUM($B$86:Q86)</f>
        <v>-1849400.4544840336</v>
      </c>
      <c r="R87" s="171">
        <f>SUM($B$86:R86)</f>
        <v>-1854895.5438108849</v>
      </c>
      <c r="S87" s="171">
        <f>SUM($B$86:S86)</f>
        <v>-1859987.0128600684</v>
      </c>
      <c r="T87" s="171">
        <f>SUM($B$86:T86)</f>
        <v>-1864704.5079792328</v>
      </c>
      <c r="U87" s="171">
        <f>SUM($B$86:U86)</f>
        <v>-1869075.4979596019</v>
      </c>
      <c r="V87" s="171">
        <f>SUM($B$86:V86)</f>
        <v>-1873125.4339798582</v>
      </c>
      <c r="W87" s="171">
        <f>SUM($B$86:W86)</f>
        <v>-1876877.8978019748</v>
      </c>
      <c r="X87" s="171">
        <f>SUM($B$86:X86)</f>
        <v>-1880354.7390819027</v>
      </c>
      <c r="Y87" s="171">
        <f>SUM($B$86:Y86)</f>
        <v>-1883576.2025946386</v>
      </c>
      <c r="Z87" s="171">
        <f>SUM($B$86:Z86)</f>
        <v>-1886561.0461144741</v>
      </c>
      <c r="AA87" s="171">
        <f>SUM($B$86:AA86)</f>
        <v>-1889326.6496368113</v>
      </c>
      <c r="AB87" s="171">
        <f>SUM($B$86:AB86)</f>
        <v>-1891889.1165775193</v>
      </c>
      <c r="AC87" s="171">
        <f>SUM($B$86:AC86)</f>
        <v>-1894263.3675390859</v>
      </c>
      <c r="AD87" s="171">
        <f>SUM($B$86:AD86)</f>
        <v>-1896463.2271895453</v>
      </c>
      <c r="AE87" s="171">
        <f>SUM($B$86:AE86)</f>
        <v>-1898501.5047600537</v>
      </c>
      <c r="AF87" s="171">
        <f>SUM($B$86:AF86)</f>
        <v>-1900390.0686298308</v>
      </c>
      <c r="AG87" s="108"/>
    </row>
    <row r="88" spans="1:33" ht="14.25" x14ac:dyDescent="0.2">
      <c r="A88" s="170" t="s">
        <v>423</v>
      </c>
      <c r="B88" s="180">
        <f>IF((ISERR(IRR($B$83:B83))),0,IF(IRR($B$83:B83)&lt;0,0,IRR($B$83:B83)))</f>
        <v>0</v>
      </c>
      <c r="C88" s="180">
        <f>IF((ISERR(IRR($B$83:C83))),0,IF(IRR($B$83:C83)&lt;0,0,IRR($B$83:C83)))</f>
        <v>0</v>
      </c>
      <c r="D88" s="180">
        <f>IF((ISERR(IRR($B$83:D83))),0,IF(IRR($B$83:D83)&lt;0,0,IRR($B$83:D83)))</f>
        <v>0</v>
      </c>
      <c r="E88" s="180">
        <f>IF((ISERR(IRR($B$83:E83))),0,IF(IRR($B$83:E83)&lt;0,0,IRR($B$83:E83)))</f>
        <v>0</v>
      </c>
      <c r="F88" s="180">
        <f>IF((ISERR(IRR($B$83:F83))),0,IF(IRR($B$83:F83)&lt;0,0,IRR($B$83:F83)))</f>
        <v>0</v>
      </c>
      <c r="G88" s="180">
        <f>IF((ISERR(IRR($B$83:G83))),0,IF(IRR($B$83:G83)&lt;0,0,IRR($B$83:G83)))</f>
        <v>0</v>
      </c>
      <c r="H88" s="180">
        <f>IF((ISERR(IRR($B$83:H83))),0,IF(IRR($B$83:H83)&lt;0,0,IRR($B$83:H83)))</f>
        <v>0</v>
      </c>
      <c r="I88" s="180">
        <f>IF((ISERR(IRR($B$83:I83))),0,IF(IRR($B$83:I83)&lt;0,0,IRR($B$83:I83)))</f>
        <v>0</v>
      </c>
      <c r="J88" s="180">
        <f>IF((ISERR(IRR($B$83:J83))),0,IF(IRR($B$83:J83)&lt;0,0,IRR($B$83:J83)))</f>
        <v>0</v>
      </c>
      <c r="K88" s="180">
        <f>IF((ISERR(IRR($B$83:K83))),0,IF(IRR($B$83:K83)&lt;0,0,IRR($B$83:K83)))</f>
        <v>0</v>
      </c>
      <c r="L88" s="180">
        <f>IF((ISERR(IRR($B$83:L83))),0,IF(IRR($B$83:L83)&lt;0,0,IRR($B$83:L83)))</f>
        <v>0</v>
      </c>
      <c r="M88" s="180">
        <f>IF((ISERR(IRR($B$83:M83))),0,IF(IRR($B$83:M83)&lt;0,0,IRR($B$83:M83)))</f>
        <v>0</v>
      </c>
      <c r="N88" s="180">
        <f>IF((ISERR(IRR($B$83:N83))),0,IF(IRR($B$83:N83)&lt;0,0,IRR($B$83:N83)))</f>
        <v>0</v>
      </c>
      <c r="O88" s="180">
        <f>IF((ISERR(IRR($B$83:O83))),0,IF(IRR($B$83:O83)&lt;0,0,IRR($B$83:O83)))</f>
        <v>0</v>
      </c>
      <c r="P88" s="180">
        <f>IF((ISERR(IRR($B$83:P83))),0,IF(IRR($B$83:P83)&lt;0,0,IRR($B$83:P83)))</f>
        <v>0</v>
      </c>
      <c r="Q88" s="180">
        <f>IF((ISERR(IRR($B$83:Q83))),0,IF(IRR($B$83:Q83)&lt;0,0,IRR($B$83:Q83)))</f>
        <v>0</v>
      </c>
      <c r="R88" s="180">
        <f>IF((ISERR(IRR($B$83:R83))),0,IF(IRR($B$83:R83)&lt;0,0,IRR($B$83:R83)))</f>
        <v>0</v>
      </c>
      <c r="S88" s="180">
        <f>IF((ISERR(IRR($B$83:S83))),0,IF(IRR($B$83:S83)&lt;0,0,IRR($B$83:S83)))</f>
        <v>0</v>
      </c>
      <c r="T88" s="180">
        <f>IF((ISERR(IRR($B$83:T83))),0,IF(IRR($B$83:T83)&lt;0,0,IRR($B$83:T83)))</f>
        <v>0</v>
      </c>
      <c r="U88" s="180">
        <f>IF((ISERR(IRR($B$83:U83))),0,IF(IRR($B$83:U83)&lt;0,0,IRR($B$83:U83)))</f>
        <v>0</v>
      </c>
      <c r="V88" s="180">
        <f>IF((ISERR(IRR($B$83:V83))),0,IF(IRR($B$83:V83)&lt;0,0,IRR($B$83:V83)))</f>
        <v>0</v>
      </c>
      <c r="W88" s="180">
        <f>IF((ISERR(IRR($B$83:W83))),0,IF(IRR($B$83:W83)&lt;0,0,IRR($B$83:W83)))</f>
        <v>0</v>
      </c>
      <c r="X88" s="180">
        <f>IF((ISERR(IRR($B$83:X83))),0,IF(IRR($B$83:X83)&lt;0,0,IRR($B$83:X83)))</f>
        <v>0</v>
      </c>
      <c r="Y88" s="180">
        <f>IF((ISERR(IRR($B$83:Y83))),0,IF(IRR($B$83:Y83)&lt;0,0,IRR($B$83:Y83)))</f>
        <v>0</v>
      </c>
      <c r="Z88" s="180">
        <f>IF((ISERR(IRR($B$83:Z83))),0,IF(IRR($B$83:Z83)&lt;0,0,IRR($B$83:Z83)))</f>
        <v>0</v>
      </c>
      <c r="AA88" s="180">
        <f>IF((ISERR(IRR($B$83:AA83))),0,IF(IRR($B$83:AA83)&lt;0,0,IRR($B$83:AA83)))</f>
        <v>0</v>
      </c>
      <c r="AB88" s="180">
        <f>IF((ISERR(IRR($B$83:AB83))),0,IF(IRR($B$83:AB83)&lt;0,0,IRR($B$83:AB83)))</f>
        <v>0</v>
      </c>
      <c r="AC88" s="180">
        <f>IF((ISERR(IRR($B$83:AC83))),0,IF(IRR($B$83:AC83)&lt;0,0,IRR($B$83:AC83)))</f>
        <v>0</v>
      </c>
      <c r="AD88" s="180">
        <f>IF((ISERR(IRR($B$83:AD83))),0,IF(IRR($B$83:AD83)&lt;0,0,IRR($B$83:AD83)))</f>
        <v>0</v>
      </c>
      <c r="AE88" s="180">
        <f>IF((ISERR(IRR($B$83:AE83))),0,IF(IRR($B$83:AE83)&lt;0,0,IRR($B$83:AE83)))</f>
        <v>0</v>
      </c>
      <c r="AF88" s="180">
        <f>IF((ISERR(IRR($B$83:AF83))),0,IF(IRR($B$83:AF83)&lt;0,0,IRR($B$83:AF83)))</f>
        <v>0</v>
      </c>
      <c r="AG88" s="108"/>
    </row>
    <row r="89" spans="1:33" ht="14.25" x14ac:dyDescent="0.2">
      <c r="A89" s="170" t="s">
        <v>424</v>
      </c>
      <c r="B89" s="181">
        <f>IF(AND(B84&gt;0,A84&lt;0),(B74-(B84/(B84-A84))),0)</f>
        <v>0</v>
      </c>
      <c r="C89" s="181">
        <f t="shared" ref="C89:AF89" si="32">IF(AND(C84&gt;0,B84&lt;0),(C74-(C84/(C84-B84))),0)</f>
        <v>0</v>
      </c>
      <c r="D89" s="181">
        <f t="shared" si="32"/>
        <v>0</v>
      </c>
      <c r="E89" s="181">
        <f t="shared" si="32"/>
        <v>0</v>
      </c>
      <c r="F89" s="181">
        <f t="shared" si="32"/>
        <v>0</v>
      </c>
      <c r="G89" s="181">
        <f t="shared" si="32"/>
        <v>0</v>
      </c>
      <c r="H89" s="181">
        <f>IF(AND(H84&gt;0,G84&lt;0),(H74-(H84/(H84-G84))),0)</f>
        <v>0</v>
      </c>
      <c r="I89" s="181">
        <f t="shared" si="32"/>
        <v>0</v>
      </c>
      <c r="J89" s="181">
        <f t="shared" si="32"/>
        <v>0</v>
      </c>
      <c r="K89" s="181">
        <f t="shared" si="32"/>
        <v>0</v>
      </c>
      <c r="L89" s="181">
        <f t="shared" si="32"/>
        <v>0</v>
      </c>
      <c r="M89" s="181">
        <f t="shared" si="32"/>
        <v>0</v>
      </c>
      <c r="N89" s="181">
        <f t="shared" si="32"/>
        <v>0</v>
      </c>
      <c r="O89" s="181">
        <f t="shared" si="32"/>
        <v>0</v>
      </c>
      <c r="P89" s="181">
        <f t="shared" si="32"/>
        <v>0</v>
      </c>
      <c r="Q89" s="181">
        <f t="shared" si="32"/>
        <v>0</v>
      </c>
      <c r="R89" s="181">
        <f t="shared" si="32"/>
        <v>0</v>
      </c>
      <c r="S89" s="181">
        <f t="shared" si="32"/>
        <v>0</v>
      </c>
      <c r="T89" s="181">
        <f t="shared" si="32"/>
        <v>0</v>
      </c>
      <c r="U89" s="181">
        <f t="shared" si="32"/>
        <v>0</v>
      </c>
      <c r="V89" s="181">
        <f t="shared" si="32"/>
        <v>0</v>
      </c>
      <c r="W89" s="181">
        <f t="shared" si="32"/>
        <v>0</v>
      </c>
      <c r="X89" s="181">
        <f t="shared" si="32"/>
        <v>0</v>
      </c>
      <c r="Y89" s="181">
        <f t="shared" si="32"/>
        <v>0</v>
      </c>
      <c r="Z89" s="181">
        <f t="shared" si="32"/>
        <v>0</v>
      </c>
      <c r="AA89" s="181">
        <f t="shared" si="32"/>
        <v>0</v>
      </c>
      <c r="AB89" s="181">
        <f t="shared" si="32"/>
        <v>0</v>
      </c>
      <c r="AC89" s="181">
        <f t="shared" si="32"/>
        <v>0</v>
      </c>
      <c r="AD89" s="181">
        <f t="shared" si="32"/>
        <v>0</v>
      </c>
      <c r="AE89" s="181">
        <f t="shared" si="32"/>
        <v>0</v>
      </c>
      <c r="AF89" s="181">
        <f t="shared" si="32"/>
        <v>0</v>
      </c>
      <c r="AG89" s="108"/>
    </row>
    <row r="90" spans="1:33" ht="15" thickBot="1" x14ac:dyDescent="0.25">
      <c r="A90" s="182" t="s">
        <v>425</v>
      </c>
      <c r="B90" s="183">
        <f t="shared" ref="B90:AF90" si="33">IF(AND(B87&gt;0,A87&lt;0),(B74-(B87/(B87-A87))),0)</f>
        <v>0</v>
      </c>
      <c r="C90" s="183">
        <f t="shared" si="33"/>
        <v>0</v>
      </c>
      <c r="D90" s="183">
        <f t="shared" si="33"/>
        <v>0</v>
      </c>
      <c r="E90" s="183">
        <f t="shared" si="33"/>
        <v>0</v>
      </c>
      <c r="F90" s="183">
        <f t="shared" si="33"/>
        <v>0</v>
      </c>
      <c r="G90" s="183">
        <f t="shared" si="33"/>
        <v>0</v>
      </c>
      <c r="H90" s="183">
        <f t="shared" si="33"/>
        <v>0</v>
      </c>
      <c r="I90" s="183">
        <f t="shared" si="33"/>
        <v>0</v>
      </c>
      <c r="J90" s="183">
        <f t="shared" si="33"/>
        <v>0</v>
      </c>
      <c r="K90" s="183">
        <f t="shared" si="33"/>
        <v>0</v>
      </c>
      <c r="L90" s="183">
        <f t="shared" si="33"/>
        <v>0</v>
      </c>
      <c r="M90" s="183">
        <f t="shared" si="33"/>
        <v>0</v>
      </c>
      <c r="N90" s="183">
        <f t="shared" si="33"/>
        <v>0</v>
      </c>
      <c r="O90" s="183">
        <f t="shared" si="33"/>
        <v>0</v>
      </c>
      <c r="P90" s="183">
        <f t="shared" si="33"/>
        <v>0</v>
      </c>
      <c r="Q90" s="183">
        <f t="shared" si="33"/>
        <v>0</v>
      </c>
      <c r="R90" s="183">
        <f t="shared" si="33"/>
        <v>0</v>
      </c>
      <c r="S90" s="183">
        <f t="shared" si="33"/>
        <v>0</v>
      </c>
      <c r="T90" s="183">
        <f t="shared" si="33"/>
        <v>0</v>
      </c>
      <c r="U90" s="183">
        <f t="shared" si="33"/>
        <v>0</v>
      </c>
      <c r="V90" s="183">
        <f t="shared" si="33"/>
        <v>0</v>
      </c>
      <c r="W90" s="183">
        <f t="shared" si="33"/>
        <v>0</v>
      </c>
      <c r="X90" s="183">
        <f t="shared" si="33"/>
        <v>0</v>
      </c>
      <c r="Y90" s="183">
        <f t="shared" si="33"/>
        <v>0</v>
      </c>
      <c r="Z90" s="183">
        <f t="shared" si="33"/>
        <v>0</v>
      </c>
      <c r="AA90" s="183">
        <f t="shared" si="33"/>
        <v>0</v>
      </c>
      <c r="AB90" s="183">
        <f t="shared" si="33"/>
        <v>0</v>
      </c>
      <c r="AC90" s="183">
        <f t="shared" si="33"/>
        <v>0</v>
      </c>
      <c r="AD90" s="183">
        <f t="shared" si="33"/>
        <v>0</v>
      </c>
      <c r="AE90" s="183">
        <f t="shared" si="33"/>
        <v>0</v>
      </c>
      <c r="AF90" s="183">
        <f t="shared" si="33"/>
        <v>0</v>
      </c>
      <c r="AG90" s="108"/>
    </row>
    <row r="91" spans="1:33" s="157" customFormat="1" x14ac:dyDescent="0.2">
      <c r="A91" s="143"/>
      <c r="B91" s="122">
        <v>2023</v>
      </c>
      <c r="C91" s="122">
        <f>B91+1</f>
        <v>2024</v>
      </c>
      <c r="D91" s="107">
        <f t="shared" ref="D91:AF91" si="34">C91+1</f>
        <v>2025</v>
      </c>
      <c r="E91" s="107">
        <f t="shared" si="34"/>
        <v>2026</v>
      </c>
      <c r="F91" s="107">
        <f t="shared" si="34"/>
        <v>2027</v>
      </c>
      <c r="G91" s="107">
        <f t="shared" si="34"/>
        <v>2028</v>
      </c>
      <c r="H91" s="107">
        <f t="shared" si="34"/>
        <v>2029</v>
      </c>
      <c r="I91" s="107">
        <f t="shared" si="34"/>
        <v>2030</v>
      </c>
      <c r="J91" s="107">
        <f t="shared" si="34"/>
        <v>2031</v>
      </c>
      <c r="K91" s="107">
        <f t="shared" si="34"/>
        <v>2032</v>
      </c>
      <c r="L91" s="107">
        <f t="shared" si="34"/>
        <v>2033</v>
      </c>
      <c r="M91" s="107">
        <f t="shared" si="34"/>
        <v>2034</v>
      </c>
      <c r="N91" s="107">
        <f t="shared" si="34"/>
        <v>2035</v>
      </c>
      <c r="O91" s="107">
        <f t="shared" si="34"/>
        <v>2036</v>
      </c>
      <c r="P91" s="107">
        <f t="shared" si="34"/>
        <v>2037</v>
      </c>
      <c r="Q91" s="107">
        <f t="shared" si="34"/>
        <v>2038</v>
      </c>
      <c r="R91" s="107">
        <f t="shared" si="34"/>
        <v>2039</v>
      </c>
      <c r="S91" s="107">
        <f t="shared" si="34"/>
        <v>2040</v>
      </c>
      <c r="T91" s="107">
        <f t="shared" si="34"/>
        <v>2041</v>
      </c>
      <c r="U91" s="107">
        <f t="shared" si="34"/>
        <v>2042</v>
      </c>
      <c r="V91" s="107">
        <f t="shared" si="34"/>
        <v>2043</v>
      </c>
      <c r="W91" s="107">
        <f t="shared" si="34"/>
        <v>2044</v>
      </c>
      <c r="X91" s="107">
        <f t="shared" si="34"/>
        <v>2045</v>
      </c>
      <c r="Y91" s="107">
        <f t="shared" si="34"/>
        <v>2046</v>
      </c>
      <c r="Z91" s="107">
        <f t="shared" si="34"/>
        <v>2047</v>
      </c>
      <c r="AA91" s="107">
        <f t="shared" si="34"/>
        <v>2048</v>
      </c>
      <c r="AB91" s="107">
        <f t="shared" si="34"/>
        <v>2049</v>
      </c>
      <c r="AC91" s="107">
        <f t="shared" si="34"/>
        <v>2050</v>
      </c>
      <c r="AD91" s="107">
        <f t="shared" si="34"/>
        <v>2051</v>
      </c>
      <c r="AE91" s="107">
        <f t="shared" si="34"/>
        <v>2052</v>
      </c>
      <c r="AF91" s="107">
        <f t="shared" si="34"/>
        <v>2053</v>
      </c>
    </row>
    <row r="92" spans="1:33" ht="15.6" customHeight="1" x14ac:dyDescent="0.2">
      <c r="A92" s="184" t="s">
        <v>426</v>
      </c>
      <c r="B92" s="185"/>
      <c r="C92" s="185"/>
      <c r="D92" s="185"/>
      <c r="E92" s="185"/>
      <c r="F92" s="185"/>
      <c r="G92" s="185"/>
      <c r="H92" s="185"/>
      <c r="I92" s="185"/>
      <c r="J92" s="185"/>
      <c r="K92" s="185"/>
      <c r="L92" s="186">
        <v>10</v>
      </c>
      <c r="M92" s="185"/>
      <c r="N92" s="185"/>
      <c r="O92" s="185"/>
      <c r="P92" s="185"/>
      <c r="Q92" s="185"/>
      <c r="R92" s="185"/>
      <c r="S92" s="185"/>
      <c r="T92" s="185"/>
      <c r="U92" s="185"/>
      <c r="V92" s="185"/>
      <c r="W92" s="185"/>
      <c r="X92" s="185"/>
      <c r="Y92" s="185"/>
      <c r="Z92" s="185"/>
      <c r="AA92" s="185">
        <v>25</v>
      </c>
      <c r="AB92" s="185"/>
      <c r="AC92" s="185"/>
      <c r="AD92" s="185"/>
      <c r="AE92" s="185"/>
      <c r="AF92" s="185">
        <v>30</v>
      </c>
      <c r="AG92" s="185"/>
    </row>
    <row r="93" spans="1:33" ht="12.75" x14ac:dyDescent="0.2">
      <c r="A93" s="187" t="s">
        <v>427</v>
      </c>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row>
    <row r="94" spans="1:33" ht="12.75" x14ac:dyDescent="0.2">
      <c r="A94" s="187" t="s">
        <v>428</v>
      </c>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row>
    <row r="95" spans="1:33" ht="12.75" x14ac:dyDescent="0.2">
      <c r="A95" s="187" t="s">
        <v>429</v>
      </c>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row>
    <row r="96" spans="1:33" ht="12.75" x14ac:dyDescent="0.2">
      <c r="A96" s="188" t="s">
        <v>430</v>
      </c>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row>
    <row r="97" spans="1:53" ht="33" customHeight="1" x14ac:dyDescent="0.2">
      <c r="A97" s="447" t="s">
        <v>431</v>
      </c>
      <c r="B97" s="447"/>
      <c r="C97" s="447"/>
      <c r="D97" s="447"/>
      <c r="E97" s="447"/>
      <c r="F97" s="447"/>
      <c r="G97" s="447"/>
      <c r="H97" s="447"/>
      <c r="I97" s="447"/>
      <c r="J97" s="447"/>
      <c r="K97" s="447"/>
      <c r="L97" s="447"/>
      <c r="M97" s="174"/>
      <c r="N97" s="174"/>
      <c r="O97" s="174"/>
      <c r="P97" s="174"/>
      <c r="Q97" s="174"/>
      <c r="R97" s="174"/>
      <c r="S97" s="174"/>
      <c r="T97" s="174"/>
      <c r="U97" s="174"/>
      <c r="V97" s="174"/>
      <c r="W97" s="174"/>
      <c r="X97" s="174"/>
      <c r="Y97" s="174"/>
      <c r="Z97" s="174"/>
      <c r="AA97" s="174"/>
      <c r="AB97" s="174"/>
      <c r="AC97" s="174"/>
      <c r="AD97" s="174"/>
      <c r="AE97" s="174"/>
      <c r="AF97" s="174"/>
      <c r="AG97" s="174"/>
    </row>
    <row r="98" spans="1:53" x14ac:dyDescent="0.2">
      <c r="C98" s="123"/>
    </row>
    <row r="99" spans="1:53" ht="12.75" x14ac:dyDescent="0.2">
      <c r="A99" s="192"/>
      <c r="B99" s="190"/>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0"/>
      <c r="AR99" s="190"/>
      <c r="AS99" s="190"/>
      <c r="AT99" s="190"/>
      <c r="AU99" s="190"/>
      <c r="AV99" s="190"/>
      <c r="AW99" s="190"/>
      <c r="AX99" s="190"/>
      <c r="AY99" s="190"/>
      <c r="AZ99" s="190"/>
      <c r="BA99" s="190"/>
    </row>
    <row r="100" spans="1:53" ht="12.75" hidden="1" x14ac:dyDescent="0.2">
      <c r="A100" s="193"/>
      <c r="B100" s="194">
        <v>2022</v>
      </c>
      <c r="C100" s="194">
        <f>B100+1</f>
        <v>2023</v>
      </c>
      <c r="D100" s="195">
        <f t="shared" ref="D100:AG100" si="35">C100+1</f>
        <v>2024</v>
      </c>
      <c r="E100" s="195">
        <f t="shared" si="35"/>
        <v>2025</v>
      </c>
      <c r="F100" s="195">
        <f t="shared" si="35"/>
        <v>2026</v>
      </c>
      <c r="G100" s="195">
        <f t="shared" si="35"/>
        <v>2027</v>
      </c>
      <c r="H100" s="195">
        <f t="shared" si="35"/>
        <v>2028</v>
      </c>
      <c r="I100" s="195">
        <f t="shared" si="35"/>
        <v>2029</v>
      </c>
      <c r="J100" s="195">
        <f t="shared" si="35"/>
        <v>2030</v>
      </c>
      <c r="K100" s="195">
        <f t="shared" si="35"/>
        <v>2031</v>
      </c>
      <c r="L100" s="195">
        <f t="shared" si="35"/>
        <v>2032</v>
      </c>
      <c r="M100" s="195">
        <f t="shared" si="35"/>
        <v>2033</v>
      </c>
      <c r="N100" s="195">
        <f t="shared" si="35"/>
        <v>2034</v>
      </c>
      <c r="O100" s="195">
        <f t="shared" si="35"/>
        <v>2035</v>
      </c>
      <c r="P100" s="195">
        <f t="shared" si="35"/>
        <v>2036</v>
      </c>
      <c r="Q100" s="195">
        <f t="shared" si="35"/>
        <v>2037</v>
      </c>
      <c r="R100" s="195">
        <f t="shared" si="35"/>
        <v>2038</v>
      </c>
      <c r="S100" s="195">
        <f t="shared" si="35"/>
        <v>2039</v>
      </c>
      <c r="T100" s="195">
        <f t="shared" si="35"/>
        <v>2040</v>
      </c>
      <c r="U100" s="195">
        <f t="shared" si="35"/>
        <v>2041</v>
      </c>
      <c r="V100" s="195">
        <f t="shared" si="35"/>
        <v>2042</v>
      </c>
      <c r="W100" s="195">
        <f t="shared" si="35"/>
        <v>2043</v>
      </c>
      <c r="X100" s="195">
        <f t="shared" si="35"/>
        <v>2044</v>
      </c>
      <c r="Y100" s="195">
        <f t="shared" si="35"/>
        <v>2045</v>
      </c>
      <c r="Z100" s="195">
        <f t="shared" si="35"/>
        <v>2046</v>
      </c>
      <c r="AA100" s="195">
        <f t="shared" si="35"/>
        <v>2047</v>
      </c>
      <c r="AB100" s="195">
        <f t="shared" si="35"/>
        <v>2048</v>
      </c>
      <c r="AC100" s="195">
        <f t="shared" si="35"/>
        <v>2049</v>
      </c>
      <c r="AD100" s="195">
        <f t="shared" si="35"/>
        <v>2050</v>
      </c>
      <c r="AE100" s="195">
        <f t="shared" si="35"/>
        <v>2051</v>
      </c>
      <c r="AF100" s="195">
        <f t="shared" si="35"/>
        <v>2052</v>
      </c>
      <c r="AG100" s="195">
        <f t="shared" si="35"/>
        <v>2053</v>
      </c>
      <c r="AH100" s="189"/>
      <c r="AI100" s="189"/>
      <c r="AJ100" s="189"/>
      <c r="AK100" s="189"/>
      <c r="AL100" s="189"/>
      <c r="AM100" s="189"/>
      <c r="AN100" s="189"/>
      <c r="AO100" s="189"/>
    </row>
    <row r="101" spans="1:53" ht="12.75" hidden="1" x14ac:dyDescent="0.2">
      <c r="A101" s="196" t="s">
        <v>567</v>
      </c>
      <c r="B101" s="197"/>
      <c r="C101" s="197">
        <f>C102*$B$104*$B$105*1000</f>
        <v>0</v>
      </c>
      <c r="D101" s="197">
        <f t="shared" ref="D101:AG101" si="36">D102*$B$104*$B$105*1000</f>
        <v>0</v>
      </c>
      <c r="E101" s="197">
        <f>E102*$B$104*$B$105*1000</f>
        <v>0</v>
      </c>
      <c r="F101" s="197">
        <f t="shared" si="36"/>
        <v>0</v>
      </c>
      <c r="G101" s="197">
        <f t="shared" si="36"/>
        <v>0</v>
      </c>
      <c r="H101" s="197">
        <f t="shared" si="36"/>
        <v>0</v>
      </c>
      <c r="I101" s="197">
        <f t="shared" si="36"/>
        <v>0</v>
      </c>
      <c r="J101" s="197">
        <f t="shared" si="36"/>
        <v>0</v>
      </c>
      <c r="K101" s="197">
        <f t="shared" si="36"/>
        <v>0</v>
      </c>
      <c r="L101" s="197">
        <f t="shared" si="36"/>
        <v>0</v>
      </c>
      <c r="M101" s="197">
        <f t="shared" si="36"/>
        <v>0</v>
      </c>
      <c r="N101" s="197">
        <f t="shared" si="36"/>
        <v>0</v>
      </c>
      <c r="O101" s="197">
        <f t="shared" si="36"/>
        <v>0</v>
      </c>
      <c r="P101" s="197">
        <f t="shared" si="36"/>
        <v>0</v>
      </c>
      <c r="Q101" s="197">
        <f t="shared" si="36"/>
        <v>0</v>
      </c>
      <c r="R101" s="197">
        <f t="shared" si="36"/>
        <v>0</v>
      </c>
      <c r="S101" s="197">
        <f t="shared" si="36"/>
        <v>0</v>
      </c>
      <c r="T101" s="197">
        <f t="shared" si="36"/>
        <v>0</v>
      </c>
      <c r="U101" s="197">
        <f t="shared" si="36"/>
        <v>0</v>
      </c>
      <c r="V101" s="197">
        <f t="shared" si="36"/>
        <v>0</v>
      </c>
      <c r="W101" s="197">
        <f t="shared" si="36"/>
        <v>0</v>
      </c>
      <c r="X101" s="197">
        <f t="shared" si="36"/>
        <v>0</v>
      </c>
      <c r="Y101" s="197">
        <f t="shared" si="36"/>
        <v>0</v>
      </c>
      <c r="Z101" s="197">
        <f t="shared" si="36"/>
        <v>0</v>
      </c>
      <c r="AA101" s="197">
        <f t="shared" si="36"/>
        <v>0</v>
      </c>
      <c r="AB101" s="197">
        <f t="shared" si="36"/>
        <v>0</v>
      </c>
      <c r="AC101" s="197">
        <f t="shared" si="36"/>
        <v>0</v>
      </c>
      <c r="AD101" s="197">
        <f t="shared" si="36"/>
        <v>0</v>
      </c>
      <c r="AE101" s="197">
        <f t="shared" si="36"/>
        <v>0</v>
      </c>
      <c r="AF101" s="197">
        <f t="shared" si="36"/>
        <v>0</v>
      </c>
      <c r="AG101" s="197">
        <f t="shared" si="36"/>
        <v>0</v>
      </c>
      <c r="AH101" s="189"/>
      <c r="AI101" s="189"/>
      <c r="AJ101" s="189"/>
      <c r="AK101" s="189"/>
      <c r="AL101" s="189"/>
      <c r="AM101" s="189"/>
      <c r="AN101" s="189"/>
      <c r="AO101" s="189"/>
    </row>
    <row r="102" spans="1:53" ht="12.75" hidden="1" x14ac:dyDescent="0.2">
      <c r="A102" s="196" t="s">
        <v>432</v>
      </c>
      <c r="B102" s="195"/>
      <c r="C102" s="195">
        <f>B102+$I$113*C106</f>
        <v>0</v>
      </c>
      <c r="D102" s="195">
        <f>C102+$I$113*D106</f>
        <v>0</v>
      </c>
      <c r="E102" s="195">
        <f t="shared" ref="E102:AG102" si="37">D102+$I$113*E106</f>
        <v>0</v>
      </c>
      <c r="F102" s="195">
        <f t="shared" si="37"/>
        <v>0</v>
      </c>
      <c r="G102" s="195">
        <f t="shared" si="37"/>
        <v>0</v>
      </c>
      <c r="H102" s="195">
        <f t="shared" si="37"/>
        <v>0</v>
      </c>
      <c r="I102" s="195">
        <f t="shared" si="37"/>
        <v>0</v>
      </c>
      <c r="J102" s="195">
        <f t="shared" si="37"/>
        <v>0</v>
      </c>
      <c r="K102" s="195">
        <f t="shared" si="37"/>
        <v>0</v>
      </c>
      <c r="L102" s="195">
        <f t="shared" si="37"/>
        <v>0</v>
      </c>
      <c r="M102" s="195">
        <f t="shared" si="37"/>
        <v>0</v>
      </c>
      <c r="N102" s="195">
        <f t="shared" si="37"/>
        <v>0</v>
      </c>
      <c r="O102" s="195">
        <f t="shared" si="37"/>
        <v>0</v>
      </c>
      <c r="P102" s="195">
        <f t="shared" si="37"/>
        <v>0</v>
      </c>
      <c r="Q102" s="195">
        <f t="shared" si="37"/>
        <v>0</v>
      </c>
      <c r="R102" s="195">
        <f t="shared" si="37"/>
        <v>0</v>
      </c>
      <c r="S102" s="195">
        <f t="shared" si="37"/>
        <v>0</v>
      </c>
      <c r="T102" s="195">
        <f t="shared" si="37"/>
        <v>0</v>
      </c>
      <c r="U102" s="195">
        <f t="shared" si="37"/>
        <v>0</v>
      </c>
      <c r="V102" s="195">
        <f t="shared" si="37"/>
        <v>0</v>
      </c>
      <c r="W102" s="195">
        <f t="shared" si="37"/>
        <v>0</v>
      </c>
      <c r="X102" s="195">
        <f t="shared" si="37"/>
        <v>0</v>
      </c>
      <c r="Y102" s="195">
        <f t="shared" si="37"/>
        <v>0</v>
      </c>
      <c r="Z102" s="195">
        <f t="shared" si="37"/>
        <v>0</v>
      </c>
      <c r="AA102" s="195">
        <f t="shared" si="37"/>
        <v>0</v>
      </c>
      <c r="AB102" s="195">
        <f t="shared" si="37"/>
        <v>0</v>
      </c>
      <c r="AC102" s="195">
        <f t="shared" si="37"/>
        <v>0</v>
      </c>
      <c r="AD102" s="195">
        <f t="shared" si="37"/>
        <v>0</v>
      </c>
      <c r="AE102" s="195">
        <f t="shared" si="37"/>
        <v>0</v>
      </c>
      <c r="AF102" s="195">
        <f t="shared" si="37"/>
        <v>0</v>
      </c>
      <c r="AG102" s="195">
        <f t="shared" si="37"/>
        <v>0</v>
      </c>
      <c r="AH102" s="189"/>
      <c r="AI102" s="189"/>
      <c r="AJ102" s="189"/>
      <c r="AK102" s="189"/>
      <c r="AL102" s="189"/>
      <c r="AM102" s="189"/>
      <c r="AN102" s="189"/>
      <c r="AO102" s="189"/>
    </row>
    <row r="103" spans="1:53" ht="12.75" hidden="1" x14ac:dyDescent="0.2">
      <c r="A103" s="196" t="s">
        <v>433</v>
      </c>
      <c r="B103" s="198">
        <v>0.93</v>
      </c>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89"/>
      <c r="AI103" s="189"/>
      <c r="AJ103" s="189"/>
      <c r="AK103" s="189"/>
      <c r="AL103" s="189"/>
      <c r="AM103" s="189"/>
      <c r="AN103" s="189"/>
      <c r="AO103" s="189"/>
    </row>
    <row r="104" spans="1:53" ht="12.75" hidden="1" x14ac:dyDescent="0.2">
      <c r="A104" s="196" t="s">
        <v>434</v>
      </c>
      <c r="B104" s="198">
        <v>4380</v>
      </c>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89"/>
      <c r="AI104" s="189"/>
      <c r="AJ104" s="189"/>
      <c r="AK104" s="189"/>
      <c r="AL104" s="189"/>
      <c r="AM104" s="189"/>
      <c r="AN104" s="189"/>
      <c r="AO104" s="189"/>
    </row>
    <row r="105" spans="1:53" ht="12.75" hidden="1" x14ac:dyDescent="0.2">
      <c r="A105" s="196" t="s">
        <v>435</v>
      </c>
      <c r="B105" s="194"/>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89"/>
      <c r="AI105" s="189"/>
      <c r="AJ105" s="189"/>
      <c r="AK105" s="189"/>
      <c r="AL105" s="189"/>
      <c r="AM105" s="189"/>
      <c r="AN105" s="189"/>
      <c r="AO105" s="189"/>
    </row>
    <row r="106" spans="1:53" ht="15" hidden="1" x14ac:dyDescent="0.2">
      <c r="A106" s="199" t="s">
        <v>436</v>
      </c>
      <c r="B106" s="200">
        <v>0</v>
      </c>
      <c r="C106" s="201">
        <v>0.33</v>
      </c>
      <c r="D106" s="201">
        <v>0.33</v>
      </c>
      <c r="E106" s="201">
        <v>0.34</v>
      </c>
      <c r="F106" s="200">
        <v>0</v>
      </c>
      <c r="G106" s="200">
        <v>0</v>
      </c>
      <c r="H106" s="200">
        <v>0</v>
      </c>
      <c r="I106" s="200">
        <v>0</v>
      </c>
      <c r="J106" s="200">
        <v>0</v>
      </c>
      <c r="K106" s="200">
        <v>0</v>
      </c>
      <c r="L106" s="200">
        <v>0</v>
      </c>
      <c r="M106" s="200">
        <v>0</v>
      </c>
      <c r="N106" s="200">
        <v>0</v>
      </c>
      <c r="O106" s="200">
        <v>0</v>
      </c>
      <c r="P106" s="200">
        <v>0</v>
      </c>
      <c r="Q106" s="200">
        <v>0</v>
      </c>
      <c r="R106" s="200">
        <v>0</v>
      </c>
      <c r="S106" s="200">
        <v>0</v>
      </c>
      <c r="T106" s="200">
        <v>0</v>
      </c>
      <c r="U106" s="200">
        <v>0</v>
      </c>
      <c r="V106" s="200">
        <v>0</v>
      </c>
      <c r="W106" s="200">
        <v>0</v>
      </c>
      <c r="X106" s="200">
        <v>0</v>
      </c>
      <c r="Y106" s="200">
        <v>0</v>
      </c>
      <c r="Z106" s="200">
        <v>0</v>
      </c>
      <c r="AA106" s="200">
        <v>0</v>
      </c>
      <c r="AB106" s="200">
        <v>0</v>
      </c>
      <c r="AC106" s="200">
        <v>0</v>
      </c>
      <c r="AD106" s="200">
        <v>0</v>
      </c>
      <c r="AE106" s="200">
        <v>0</v>
      </c>
      <c r="AF106" s="200">
        <v>0</v>
      </c>
      <c r="AG106" s="200">
        <v>0</v>
      </c>
      <c r="AH106" s="189"/>
      <c r="AI106" s="189"/>
      <c r="AJ106" s="189"/>
      <c r="AK106" s="189"/>
      <c r="AL106" s="189"/>
      <c r="AM106" s="189"/>
      <c r="AN106" s="189"/>
      <c r="AO106" s="189"/>
    </row>
    <row r="107" spans="1:53" ht="12.75" hidden="1" x14ac:dyDescent="0.2">
      <c r="A107" s="192"/>
      <c r="B107" s="190"/>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c r="Y107" s="190"/>
      <c r="Z107" s="190"/>
      <c r="AA107" s="190"/>
      <c r="AB107" s="190"/>
      <c r="AC107" s="190"/>
      <c r="AD107" s="190"/>
      <c r="AE107" s="190"/>
      <c r="AF107" s="190"/>
      <c r="AG107" s="190"/>
      <c r="AH107" s="190"/>
      <c r="AI107" s="190"/>
      <c r="AJ107" s="190"/>
      <c r="AK107" s="190"/>
      <c r="AL107" s="190"/>
      <c r="AM107" s="190"/>
      <c r="AN107" s="190"/>
      <c r="AO107" s="190"/>
      <c r="AP107" s="190"/>
      <c r="AQ107" s="190"/>
      <c r="AR107" s="190"/>
      <c r="AS107" s="190"/>
      <c r="AT107" s="190"/>
      <c r="AU107" s="190"/>
      <c r="AV107" s="190"/>
      <c r="AW107" s="190"/>
      <c r="AX107" s="190"/>
      <c r="AY107" s="190"/>
      <c r="AZ107" s="190"/>
      <c r="BA107" s="190"/>
    </row>
    <row r="108" spans="1:53" ht="12.75" hidden="1" x14ac:dyDescent="0.2">
      <c r="A108" s="192"/>
      <c r="B108" s="190"/>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A108" s="190"/>
      <c r="AB108" s="190"/>
      <c r="AC108" s="190"/>
      <c r="AD108" s="190"/>
      <c r="AE108" s="190"/>
      <c r="AF108" s="190"/>
      <c r="AG108" s="190"/>
      <c r="AH108" s="190"/>
      <c r="AI108" s="190"/>
      <c r="AJ108" s="190"/>
      <c r="AK108" s="190"/>
      <c r="AL108" s="190"/>
      <c r="AM108" s="190"/>
      <c r="AN108" s="190"/>
      <c r="AO108" s="190"/>
      <c r="AP108" s="190"/>
      <c r="AQ108" s="190"/>
      <c r="AR108" s="190"/>
      <c r="AS108" s="190"/>
      <c r="AT108" s="190"/>
      <c r="AU108" s="190"/>
      <c r="AV108" s="190"/>
      <c r="AW108" s="190"/>
      <c r="AX108" s="190"/>
      <c r="AY108" s="190"/>
      <c r="AZ108" s="190"/>
      <c r="BA108" s="190"/>
    </row>
    <row r="109" spans="1:53" ht="12.75" hidden="1" x14ac:dyDescent="0.2">
      <c r="A109" s="193"/>
      <c r="B109" s="448" t="s">
        <v>437</v>
      </c>
      <c r="C109" s="449"/>
      <c r="D109" s="448" t="s">
        <v>438</v>
      </c>
      <c r="E109" s="449"/>
      <c r="F109" s="193"/>
      <c r="G109" s="193"/>
      <c r="H109" s="193"/>
      <c r="I109" s="193"/>
      <c r="J109" s="193"/>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c r="AT109" s="190"/>
      <c r="AU109" s="190"/>
      <c r="AV109" s="190"/>
      <c r="AW109" s="190"/>
      <c r="AX109" s="190"/>
      <c r="AY109" s="190"/>
      <c r="AZ109" s="190"/>
      <c r="BA109" s="190"/>
    </row>
    <row r="110" spans="1:53" ht="12.75" hidden="1" x14ac:dyDescent="0.2">
      <c r="A110" s="196" t="s">
        <v>439</v>
      </c>
      <c r="B110" s="202"/>
      <c r="C110" s="193" t="s">
        <v>406</v>
      </c>
      <c r="D110" s="202"/>
      <c r="E110" s="193" t="s">
        <v>406</v>
      </c>
      <c r="F110" s="193"/>
      <c r="G110" s="193"/>
      <c r="H110" s="193"/>
      <c r="I110" s="193"/>
      <c r="J110" s="193"/>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c r="AT110" s="190"/>
      <c r="AU110" s="190"/>
      <c r="AV110" s="190"/>
      <c r="AW110" s="190"/>
      <c r="AX110" s="190"/>
      <c r="AY110" s="190"/>
      <c r="AZ110" s="190"/>
      <c r="BA110" s="190"/>
    </row>
    <row r="111" spans="1:53" ht="25.5" hidden="1" x14ac:dyDescent="0.2">
      <c r="A111" s="196" t="s">
        <v>439</v>
      </c>
      <c r="B111" s="193">
        <f>$B$103*B110</f>
        <v>0</v>
      </c>
      <c r="C111" s="193" t="s">
        <v>124</v>
      </c>
      <c r="D111" s="193">
        <f>$B$103*D110</f>
        <v>0</v>
      </c>
      <c r="E111" s="193" t="s">
        <v>124</v>
      </c>
      <c r="F111" s="196" t="s">
        <v>440</v>
      </c>
      <c r="G111" s="193">
        <f>D110-B110</f>
        <v>0</v>
      </c>
      <c r="H111" s="193" t="s">
        <v>406</v>
      </c>
      <c r="I111" s="203">
        <f>$B$103*G111</f>
        <v>0</v>
      </c>
      <c r="J111" s="193" t="s">
        <v>124</v>
      </c>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c r="AT111" s="190"/>
      <c r="AU111" s="190"/>
      <c r="AV111" s="190"/>
      <c r="AW111" s="190"/>
      <c r="AX111" s="190"/>
      <c r="AY111" s="190"/>
      <c r="AZ111" s="190"/>
      <c r="BA111" s="190"/>
    </row>
    <row r="112" spans="1:53" ht="25.5" hidden="1" x14ac:dyDescent="0.2">
      <c r="A112" s="193"/>
      <c r="B112" s="193"/>
      <c r="C112" s="193"/>
      <c r="D112" s="193"/>
      <c r="E112" s="193"/>
      <c r="F112" s="196" t="s">
        <v>441</v>
      </c>
      <c r="G112" s="193">
        <f>I112/$B$103</f>
        <v>0</v>
      </c>
      <c r="H112" s="193" t="s">
        <v>406</v>
      </c>
      <c r="I112" s="202"/>
      <c r="J112" s="193" t="s">
        <v>124</v>
      </c>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c r="AT112" s="190"/>
      <c r="AU112" s="190"/>
      <c r="AV112" s="190"/>
      <c r="AW112" s="190"/>
      <c r="AX112" s="190"/>
      <c r="AY112" s="190"/>
      <c r="AZ112" s="190"/>
      <c r="BA112" s="190"/>
    </row>
    <row r="113" spans="1:53" ht="38.25" hidden="1" x14ac:dyDescent="0.2">
      <c r="A113" s="204"/>
      <c r="B113" s="205"/>
      <c r="C113" s="205"/>
      <c r="D113" s="205"/>
      <c r="E113" s="205"/>
      <c r="F113" s="206" t="s">
        <v>442</v>
      </c>
      <c r="G113" s="203">
        <f>G111</f>
        <v>0</v>
      </c>
      <c r="H113" s="193" t="s">
        <v>406</v>
      </c>
      <c r="I113" s="198">
        <f>I111</f>
        <v>0</v>
      </c>
      <c r="J113" s="193" t="s">
        <v>124</v>
      </c>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row>
    <row r="114" spans="1:53" ht="12.75" hidden="1" x14ac:dyDescent="0.2">
      <c r="A114" s="207"/>
      <c r="B114" s="191"/>
      <c r="C114" s="190"/>
      <c r="D114" s="190"/>
      <c r="E114" s="190"/>
      <c r="F114" s="190"/>
      <c r="G114" s="190"/>
      <c r="H114" s="190"/>
      <c r="I114" s="190"/>
      <c r="J114" s="190"/>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190"/>
      <c r="AX114" s="190"/>
      <c r="AY114" s="190"/>
      <c r="AZ114" s="190"/>
      <c r="BA114" s="190"/>
    </row>
    <row r="115" spans="1:53" hidden="1" x14ac:dyDescent="0.2">
      <c r="A115" s="208" t="s">
        <v>443</v>
      </c>
      <c r="B115" s="209"/>
      <c r="C115" s="191"/>
      <c r="D115" s="437" t="s">
        <v>258</v>
      </c>
      <c r="E115" s="272" t="s">
        <v>506</v>
      </c>
      <c r="F115" s="273">
        <v>35</v>
      </c>
      <c r="G115" s="438" t="s">
        <v>507</v>
      </c>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1"/>
      <c r="AR115" s="191"/>
      <c r="AS115" s="191"/>
      <c r="AT115" s="191"/>
      <c r="AU115" s="191"/>
      <c r="AV115" s="191"/>
      <c r="AW115" s="191"/>
      <c r="AX115" s="191"/>
      <c r="AY115" s="191"/>
      <c r="AZ115" s="191"/>
      <c r="BA115" s="191"/>
    </row>
    <row r="116" spans="1:53" hidden="1" x14ac:dyDescent="0.2">
      <c r="A116" s="208" t="s">
        <v>258</v>
      </c>
      <c r="B116" s="210"/>
      <c r="C116" s="191"/>
      <c r="D116" s="437"/>
      <c r="E116" s="272" t="s">
        <v>508</v>
      </c>
      <c r="F116" s="273">
        <v>30</v>
      </c>
      <c r="G116" s="438"/>
      <c r="H116" s="191"/>
      <c r="I116" s="191"/>
      <c r="J116" s="191"/>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1"/>
      <c r="AR116" s="191"/>
      <c r="AS116" s="191"/>
      <c r="AT116" s="191"/>
      <c r="AU116" s="191"/>
      <c r="AV116" s="191"/>
      <c r="AW116" s="191"/>
      <c r="AX116" s="191"/>
      <c r="AY116" s="191"/>
      <c r="AZ116" s="191"/>
      <c r="BA116" s="191"/>
    </row>
    <row r="117" spans="1:53" hidden="1" x14ac:dyDescent="0.2">
      <c r="A117" s="208" t="s">
        <v>444</v>
      </c>
      <c r="B117" s="210"/>
      <c r="C117" s="211"/>
      <c r="D117" s="437"/>
      <c r="E117" s="272" t="s">
        <v>509</v>
      </c>
      <c r="F117" s="273">
        <v>30</v>
      </c>
      <c r="G117" s="438"/>
      <c r="H117" s="191"/>
      <c r="I117" s="191"/>
      <c r="J117" s="191"/>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1"/>
      <c r="AR117" s="191"/>
      <c r="AS117" s="191"/>
      <c r="AT117" s="191"/>
      <c r="AU117" s="191"/>
      <c r="AV117" s="191"/>
      <c r="AW117" s="191"/>
      <c r="AX117" s="191"/>
      <c r="AY117" s="191"/>
      <c r="AZ117" s="191"/>
      <c r="BA117" s="191"/>
    </row>
    <row r="118" spans="1:53" s="157" customFormat="1" hidden="1" x14ac:dyDescent="0.2">
      <c r="A118" s="212"/>
      <c r="B118" s="213"/>
      <c r="C118" s="214"/>
      <c r="D118" s="437"/>
      <c r="E118" s="272" t="s">
        <v>510</v>
      </c>
      <c r="F118" s="273">
        <v>30</v>
      </c>
      <c r="G118" s="438"/>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row>
    <row r="119" spans="1:53" ht="12.75" hidden="1" x14ac:dyDescent="0.2">
      <c r="A119" s="208" t="s">
        <v>445</v>
      </c>
      <c r="B119" s="216"/>
      <c r="C119" s="191"/>
      <c r="D119" s="191"/>
      <c r="E119" s="191"/>
      <c r="F119" s="191"/>
      <c r="G119" s="191"/>
      <c r="H119" s="191"/>
      <c r="I119" s="191"/>
      <c r="J119" s="191"/>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1"/>
      <c r="AR119" s="191"/>
      <c r="AS119" s="191"/>
      <c r="AT119" s="191"/>
      <c r="AU119" s="191"/>
      <c r="AV119" s="191"/>
      <c r="AW119" s="191"/>
      <c r="AX119" s="191"/>
      <c r="AY119" s="191"/>
      <c r="AZ119" s="191"/>
      <c r="BA119" s="191"/>
    </row>
    <row r="120" spans="1:53" ht="12.75" hidden="1" x14ac:dyDescent="0.2">
      <c r="A120" s="208" t="s">
        <v>446</v>
      </c>
      <c r="B120" s="217"/>
      <c r="C120" s="191"/>
      <c r="D120" s="191"/>
      <c r="E120" s="191"/>
      <c r="F120" s="191"/>
      <c r="G120" s="191"/>
      <c r="H120" s="191"/>
      <c r="I120" s="191"/>
      <c r="J120" s="191"/>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1"/>
      <c r="AR120" s="191"/>
      <c r="AS120" s="191"/>
      <c r="AT120" s="191"/>
      <c r="AU120" s="191"/>
      <c r="AV120" s="191"/>
      <c r="AW120" s="191"/>
      <c r="AX120" s="191"/>
      <c r="AY120" s="191"/>
      <c r="AZ120" s="191"/>
      <c r="BA120" s="191"/>
    </row>
    <row r="121" spans="1:53" ht="12.75" hidden="1" x14ac:dyDescent="0.2">
      <c r="A121" s="207"/>
      <c r="B121" s="218"/>
      <c r="C121" s="191"/>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1"/>
      <c r="AR121" s="191"/>
      <c r="AS121" s="191"/>
      <c r="AT121" s="191"/>
      <c r="AU121" s="191"/>
      <c r="AV121" s="191"/>
      <c r="AW121" s="191"/>
      <c r="AX121" s="191"/>
      <c r="AY121" s="191"/>
      <c r="AZ121" s="191"/>
      <c r="BA121" s="191"/>
    </row>
    <row r="122" spans="1:53" ht="12.75" hidden="1" x14ac:dyDescent="0.2">
      <c r="A122" s="208" t="s">
        <v>447</v>
      </c>
      <c r="B122" s="219"/>
      <c r="C122" s="191"/>
      <c r="D122" s="191"/>
      <c r="E122" s="191"/>
      <c r="F122" s="191"/>
      <c r="G122" s="191"/>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c r="AT122" s="191"/>
      <c r="AU122" s="191"/>
      <c r="AV122" s="191"/>
      <c r="AW122" s="191"/>
      <c r="AX122" s="191"/>
      <c r="AY122" s="191"/>
      <c r="AZ122" s="191"/>
      <c r="BA122" s="191"/>
    </row>
    <row r="123" spans="1:53" hidden="1" x14ac:dyDescent="0.2">
      <c r="A123" s="220"/>
      <c r="B123" s="221"/>
      <c r="C123" s="191"/>
      <c r="D123" s="191"/>
      <c r="E123" s="191"/>
      <c r="F123" s="191"/>
      <c r="G123" s="191"/>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c r="AT123" s="191"/>
      <c r="AU123" s="191"/>
      <c r="AV123" s="191"/>
      <c r="AW123" s="191"/>
      <c r="AX123" s="191"/>
      <c r="AY123" s="191"/>
      <c r="AZ123" s="191"/>
      <c r="BA123" s="191"/>
    </row>
    <row r="124" spans="1:53" ht="12.75" hidden="1" x14ac:dyDescent="0.2">
      <c r="A124" s="274"/>
      <c r="B124" s="275"/>
      <c r="C124" s="215"/>
      <c r="D124" s="191"/>
      <c r="E124" s="191"/>
      <c r="F124" s="191"/>
      <c r="G124" s="191"/>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c r="AT124" s="191"/>
      <c r="AU124" s="191"/>
      <c r="AV124" s="191"/>
      <c r="AW124" s="191"/>
      <c r="AX124" s="191"/>
      <c r="AY124" s="191"/>
      <c r="AZ124" s="191"/>
      <c r="BA124" s="191"/>
    </row>
    <row r="125" spans="1:53" ht="12.75" hidden="1" x14ac:dyDescent="0.2">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c r="AT125" s="191"/>
      <c r="AU125" s="191"/>
      <c r="AV125" s="191"/>
      <c r="AW125" s="191"/>
      <c r="AX125" s="191"/>
      <c r="AY125" s="191"/>
      <c r="AZ125" s="191"/>
      <c r="BA125" s="191"/>
    </row>
    <row r="126" spans="1:53" ht="12.75" hidden="1" x14ac:dyDescent="0.2">
      <c r="A126" s="207"/>
      <c r="B126" s="191"/>
      <c r="C126" s="191"/>
      <c r="D126" s="191"/>
      <c r="E126" s="191"/>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P126" s="191"/>
      <c r="AQ126" s="191"/>
      <c r="AR126" s="191"/>
      <c r="AS126" s="191"/>
      <c r="AT126" s="191"/>
      <c r="AU126" s="191"/>
      <c r="AV126" s="191"/>
      <c r="AW126" s="191"/>
      <c r="AX126" s="191"/>
      <c r="AY126" s="191"/>
      <c r="AZ126" s="191"/>
      <c r="BA126" s="191"/>
    </row>
    <row r="127" spans="1:53" hidden="1" x14ac:dyDescent="0.2">
      <c r="A127" s="208" t="s">
        <v>448</v>
      </c>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P127" s="215"/>
      <c r="AQ127" s="215"/>
      <c r="AR127" s="215"/>
      <c r="AS127" s="215"/>
      <c r="AT127" s="215"/>
      <c r="AU127" s="215"/>
      <c r="AV127" s="215"/>
      <c r="AW127" s="215"/>
      <c r="AX127" s="215"/>
      <c r="AY127" s="215"/>
      <c r="AZ127" s="215"/>
      <c r="BA127" s="215"/>
    </row>
    <row r="128" spans="1:53" ht="12.75" hidden="1" x14ac:dyDescent="0.2">
      <c r="A128" s="208"/>
      <c r="B128" s="222">
        <v>2022</v>
      </c>
      <c r="C128" s="222">
        <f>B128+1</f>
        <v>2023</v>
      </c>
      <c r="D128" s="222">
        <f t="shared" ref="D128:AG128" si="38">C128+1</f>
        <v>2024</v>
      </c>
      <c r="E128" s="222">
        <f t="shared" si="38"/>
        <v>2025</v>
      </c>
      <c r="F128" s="222">
        <f t="shared" si="38"/>
        <v>2026</v>
      </c>
      <c r="G128" s="222">
        <f t="shared" si="38"/>
        <v>2027</v>
      </c>
      <c r="H128" s="222">
        <f t="shared" si="38"/>
        <v>2028</v>
      </c>
      <c r="I128" s="222">
        <f t="shared" si="38"/>
        <v>2029</v>
      </c>
      <c r="J128" s="222">
        <f t="shared" si="38"/>
        <v>2030</v>
      </c>
      <c r="K128" s="222">
        <f t="shared" si="38"/>
        <v>2031</v>
      </c>
      <c r="L128" s="222">
        <f t="shared" si="38"/>
        <v>2032</v>
      </c>
      <c r="M128" s="222">
        <f t="shared" si="38"/>
        <v>2033</v>
      </c>
      <c r="N128" s="222">
        <f t="shared" si="38"/>
        <v>2034</v>
      </c>
      <c r="O128" s="222">
        <f t="shared" si="38"/>
        <v>2035</v>
      </c>
      <c r="P128" s="222">
        <f t="shared" si="38"/>
        <v>2036</v>
      </c>
      <c r="Q128" s="222">
        <f t="shared" si="38"/>
        <v>2037</v>
      </c>
      <c r="R128" s="222">
        <f t="shared" si="38"/>
        <v>2038</v>
      </c>
      <c r="S128" s="222">
        <f t="shared" si="38"/>
        <v>2039</v>
      </c>
      <c r="T128" s="222">
        <f t="shared" si="38"/>
        <v>2040</v>
      </c>
      <c r="U128" s="222">
        <f t="shared" si="38"/>
        <v>2041</v>
      </c>
      <c r="V128" s="222">
        <f t="shared" si="38"/>
        <v>2042</v>
      </c>
      <c r="W128" s="222">
        <f t="shared" si="38"/>
        <v>2043</v>
      </c>
      <c r="X128" s="222">
        <f t="shared" si="38"/>
        <v>2044</v>
      </c>
      <c r="Y128" s="222">
        <f t="shared" si="38"/>
        <v>2045</v>
      </c>
      <c r="Z128" s="222">
        <f t="shared" si="38"/>
        <v>2046</v>
      </c>
      <c r="AA128" s="222">
        <f t="shared" si="38"/>
        <v>2047</v>
      </c>
      <c r="AB128" s="222">
        <f t="shared" si="38"/>
        <v>2048</v>
      </c>
      <c r="AC128" s="222">
        <f t="shared" si="38"/>
        <v>2049</v>
      </c>
      <c r="AD128" s="222">
        <f t="shared" si="38"/>
        <v>2050</v>
      </c>
      <c r="AE128" s="222">
        <f t="shared" si="38"/>
        <v>2051</v>
      </c>
      <c r="AF128" s="222">
        <f t="shared" si="38"/>
        <v>2052</v>
      </c>
      <c r="AG128" s="222">
        <f t="shared" si="38"/>
        <v>2053</v>
      </c>
    </row>
    <row r="129" spans="1:53" ht="12.75" hidden="1" x14ac:dyDescent="0.2">
      <c r="A129" s="208" t="s">
        <v>449</v>
      </c>
      <c r="B129" s="277">
        <v>5.1003564654479999E-2</v>
      </c>
      <c r="C129" s="277">
        <v>4.9001762230179997E-2</v>
      </c>
      <c r="D129" s="277">
        <v>4.7000273037249997E-2</v>
      </c>
      <c r="E129" s="277">
        <f t="shared" ref="E129:F129" si="39">D129</f>
        <v>4.7000273037249997E-2</v>
      </c>
      <c r="F129" s="277">
        <f t="shared" si="39"/>
        <v>4.7000273037249997E-2</v>
      </c>
      <c r="G129" s="277">
        <f>F129</f>
        <v>4.7000273037249997E-2</v>
      </c>
      <c r="H129" s="277">
        <f>G129</f>
        <v>4.7000273037249997E-2</v>
      </c>
      <c r="I129" s="277">
        <f t="shared" ref="I129:AG129" si="40">H129</f>
        <v>4.7000273037249997E-2</v>
      </c>
      <c r="J129" s="277">
        <f t="shared" si="40"/>
        <v>4.7000273037249997E-2</v>
      </c>
      <c r="K129" s="277">
        <f t="shared" si="40"/>
        <v>4.7000273037249997E-2</v>
      </c>
      <c r="L129" s="277">
        <f t="shared" si="40"/>
        <v>4.7000273037249997E-2</v>
      </c>
      <c r="M129" s="277">
        <f t="shared" si="40"/>
        <v>4.7000273037249997E-2</v>
      </c>
      <c r="N129" s="277">
        <f t="shared" si="40"/>
        <v>4.7000273037249997E-2</v>
      </c>
      <c r="O129" s="277">
        <f t="shared" si="40"/>
        <v>4.7000273037249997E-2</v>
      </c>
      <c r="P129" s="277">
        <f t="shared" si="40"/>
        <v>4.7000273037249997E-2</v>
      </c>
      <c r="Q129" s="277">
        <f t="shared" si="40"/>
        <v>4.7000273037249997E-2</v>
      </c>
      <c r="R129" s="277">
        <f t="shared" si="40"/>
        <v>4.7000273037249997E-2</v>
      </c>
      <c r="S129" s="277">
        <f t="shared" si="40"/>
        <v>4.7000273037249997E-2</v>
      </c>
      <c r="T129" s="277">
        <f t="shared" si="40"/>
        <v>4.7000273037249997E-2</v>
      </c>
      <c r="U129" s="277">
        <f t="shared" si="40"/>
        <v>4.7000273037249997E-2</v>
      </c>
      <c r="V129" s="277">
        <f t="shared" si="40"/>
        <v>4.7000273037249997E-2</v>
      </c>
      <c r="W129" s="277">
        <f t="shared" si="40"/>
        <v>4.7000273037249997E-2</v>
      </c>
      <c r="X129" s="277">
        <f t="shared" si="40"/>
        <v>4.7000273037249997E-2</v>
      </c>
      <c r="Y129" s="277">
        <f t="shared" si="40"/>
        <v>4.7000273037249997E-2</v>
      </c>
      <c r="Z129" s="277">
        <f t="shared" si="40"/>
        <v>4.7000273037249997E-2</v>
      </c>
      <c r="AA129" s="277">
        <f t="shared" si="40"/>
        <v>4.7000273037249997E-2</v>
      </c>
      <c r="AB129" s="277">
        <f t="shared" si="40"/>
        <v>4.7000273037249997E-2</v>
      </c>
      <c r="AC129" s="277">
        <f t="shared" si="40"/>
        <v>4.7000273037249997E-2</v>
      </c>
      <c r="AD129" s="277">
        <f t="shared" si="40"/>
        <v>4.7000273037249997E-2</v>
      </c>
      <c r="AE129" s="277">
        <f t="shared" si="40"/>
        <v>4.7000273037249997E-2</v>
      </c>
      <c r="AF129" s="277">
        <f t="shared" si="40"/>
        <v>4.7000273037249997E-2</v>
      </c>
      <c r="AG129" s="277">
        <f t="shared" si="40"/>
        <v>4.7000273037249997E-2</v>
      </c>
    </row>
    <row r="130" spans="1:53" s="157" customFormat="1" ht="15" hidden="1" x14ac:dyDescent="0.2">
      <c r="A130" s="208" t="s">
        <v>450</v>
      </c>
      <c r="B130" s="371">
        <f>B129</f>
        <v>5.1003564654479999E-2</v>
      </c>
      <c r="C130" s="278">
        <f>(1+B130)*(1+C129)-1</f>
        <v>0.10250459143275026</v>
      </c>
      <c r="D130" s="278">
        <f>(1+C130)*(1+D129)-1</f>
        <v>0.1543226082549114</v>
      </c>
      <c r="E130" s="278">
        <f>(1+D130)*(1+E129)-1</f>
        <v>0.20857608601596289</v>
      </c>
      <c r="F130" s="278">
        <f t="shared" ref="F130:AG130" si="41">(1+E130)*(1+F129)-1</f>
        <v>0.26537949204500411</v>
      </c>
      <c r="G130" s="278">
        <f>(1+F130)*(1+G129)-1</f>
        <v>0.324852673666856</v>
      </c>
      <c r="H130" s="278">
        <f t="shared" si="41"/>
        <v>0.38712111106332903</v>
      </c>
      <c r="I130" s="278">
        <f t="shared" si="41"/>
        <v>0.45231618201903911</v>
      </c>
      <c r="J130" s="278">
        <f t="shared" si="41"/>
        <v>0.52057543911035054</v>
      </c>
      <c r="K130" s="278">
        <f t="shared" si="41"/>
        <v>0.59204289992227332</v>
      </c>
      <c r="L130" s="278">
        <f t="shared" si="41"/>
        <v>0.66686935090563559</v>
      </c>
      <c r="M130" s="278">
        <f t="shared" si="41"/>
        <v>0.74521266551562437</v>
      </c>
      <c r="N130" s="278">
        <f t="shared" si="41"/>
        <v>0.82723813730292561</v>
      </c>
      <c r="O130" s="278">
        <f t="shared" si="41"/>
        <v>0.91311882866023941</v>
      </c>
      <c r="P130" s="278">
        <f t="shared" si="41"/>
        <v>1.0030359359599745</v>
      </c>
      <c r="Q130" s="278">
        <f t="shared" si="41"/>
        <v>1.0971791718535169</v>
      </c>
      <c r="R130" s="278">
        <f t="shared" si="41"/>
        <v>1.1957471655386662</v>
      </c>
      <c r="S130" s="278">
        <f t="shared" si="41"/>
        <v>1.2989478818397515</v>
      </c>
      <c r="T130" s="278">
        <f t="shared" si="41"/>
        <v>1.4069990599846274</v>
      </c>
      <c r="U130" s="278">
        <f t="shared" si="41"/>
        <v>1.5201286730043093</v>
      </c>
      <c r="V130" s="278">
        <f t="shared" si="41"/>
        <v>1.6385754087245146</v>
      </c>
      <c r="W130" s="278">
        <f t="shared" si="41"/>
        <v>1.7625891733639403</v>
      </c>
      <c r="X130" s="278">
        <f t="shared" si="41"/>
        <v>1.8924316188017967</v>
      </c>
      <c r="Y130" s="278">
        <f t="shared" si="41"/>
        <v>2.0283766946270565</v>
      </c>
      <c r="Z130" s="278">
        <f t="shared" si="41"/>
        <v>2.170711226134173</v>
      </c>
      <c r="AA130" s="278">
        <f t="shared" si="41"/>
        <v>2.3197355194847531</v>
      </c>
      <c r="AB130" s="278">
        <f t="shared" si="41"/>
        <v>2.4757639953119939</v>
      </c>
      <c r="AC130" s="278">
        <f t="shared" si="41"/>
        <v>2.639125852104701</v>
      </c>
      <c r="AD130" s="278">
        <f t="shared" si="41"/>
        <v>2.8101657607705373</v>
      </c>
      <c r="AE130" s="278">
        <f t="shared" si="41"/>
        <v>2.9892445918439341</v>
      </c>
      <c r="AF130" s="278">
        <f t="shared" si="41"/>
        <v>3.1767401768729719</v>
      </c>
      <c r="AG130" s="278">
        <f t="shared" si="41"/>
        <v>3.3730481055916535</v>
      </c>
    </row>
    <row r="131" spans="1:53" s="157" customFormat="1" hidden="1" x14ac:dyDescent="0.2">
      <c r="A131" s="224"/>
      <c r="B131" s="223"/>
      <c r="C131" s="225"/>
      <c r="D131" s="225"/>
      <c r="E131" s="225"/>
      <c r="F131" s="225"/>
      <c r="G131" s="225"/>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row>
    <row r="132" spans="1:53" ht="12.75" hidden="1" x14ac:dyDescent="0.2">
      <c r="A132" s="207"/>
      <c r="B132" s="276">
        <v>2022</v>
      </c>
      <c r="C132" s="276">
        <f>B132+1</f>
        <v>2023</v>
      </c>
      <c r="D132" s="276">
        <f t="shared" ref="D132:S133" si="42">C132+1</f>
        <v>2024</v>
      </c>
      <c r="E132" s="276">
        <f t="shared" si="42"/>
        <v>2025</v>
      </c>
      <c r="F132" s="276">
        <f t="shared" si="42"/>
        <v>2026</v>
      </c>
      <c r="G132" s="276">
        <f t="shared" si="42"/>
        <v>2027</v>
      </c>
      <c r="H132" s="276">
        <f t="shared" si="42"/>
        <v>2028</v>
      </c>
      <c r="I132" s="276">
        <f t="shared" si="42"/>
        <v>2029</v>
      </c>
      <c r="J132" s="276">
        <f t="shared" si="42"/>
        <v>2030</v>
      </c>
      <c r="K132" s="276">
        <f t="shared" si="42"/>
        <v>2031</v>
      </c>
      <c r="L132" s="276">
        <f t="shared" si="42"/>
        <v>2032</v>
      </c>
      <c r="M132" s="276">
        <f t="shared" si="42"/>
        <v>2033</v>
      </c>
      <c r="N132" s="276">
        <f t="shared" si="42"/>
        <v>2034</v>
      </c>
      <c r="O132" s="276">
        <f t="shared" si="42"/>
        <v>2035</v>
      </c>
      <c r="P132" s="276">
        <f t="shared" si="42"/>
        <v>2036</v>
      </c>
      <c r="Q132" s="276">
        <f t="shared" si="42"/>
        <v>2037</v>
      </c>
      <c r="R132" s="276">
        <f t="shared" si="42"/>
        <v>2038</v>
      </c>
      <c r="S132" s="276">
        <f t="shared" si="42"/>
        <v>2039</v>
      </c>
      <c r="T132" s="276">
        <f t="shared" ref="T132:AG133" si="43">S132+1</f>
        <v>2040</v>
      </c>
      <c r="U132" s="276">
        <f t="shared" si="43"/>
        <v>2041</v>
      </c>
      <c r="V132" s="276">
        <f t="shared" si="43"/>
        <v>2042</v>
      </c>
      <c r="W132" s="276">
        <f t="shared" si="43"/>
        <v>2043</v>
      </c>
      <c r="X132" s="276">
        <f t="shared" si="43"/>
        <v>2044</v>
      </c>
      <c r="Y132" s="276">
        <f t="shared" si="43"/>
        <v>2045</v>
      </c>
      <c r="Z132" s="276">
        <f t="shared" si="43"/>
        <v>2046</v>
      </c>
      <c r="AA132" s="276">
        <f t="shared" si="43"/>
        <v>2047</v>
      </c>
      <c r="AB132" s="276">
        <f t="shared" si="43"/>
        <v>2048</v>
      </c>
      <c r="AC132" s="276">
        <f t="shared" si="43"/>
        <v>2049</v>
      </c>
      <c r="AD132" s="276">
        <f t="shared" si="43"/>
        <v>2050</v>
      </c>
      <c r="AE132" s="276">
        <f t="shared" si="43"/>
        <v>2051</v>
      </c>
      <c r="AF132" s="276">
        <f t="shared" si="43"/>
        <v>2052</v>
      </c>
      <c r="AG132" s="276">
        <f t="shared" si="43"/>
        <v>2053</v>
      </c>
      <c r="AH132" s="191"/>
      <c r="AI132" s="191"/>
      <c r="AJ132" s="191"/>
      <c r="AK132" s="191"/>
      <c r="AL132" s="191"/>
      <c r="AM132" s="191"/>
      <c r="AN132" s="191"/>
      <c r="AO132" s="191"/>
      <c r="AP132" s="191"/>
      <c r="AQ132" s="191"/>
      <c r="AR132" s="191"/>
      <c r="AS132" s="191"/>
      <c r="AT132" s="191"/>
      <c r="AU132" s="191"/>
      <c r="AV132" s="191"/>
      <c r="AW132" s="191"/>
      <c r="AX132" s="191"/>
      <c r="AY132" s="191"/>
      <c r="AZ132" s="191"/>
      <c r="BA132" s="191"/>
    </row>
    <row r="133" spans="1:53" hidden="1" x14ac:dyDescent="0.2">
      <c r="A133" s="207"/>
      <c r="B133" s="279">
        <v>1</v>
      </c>
      <c r="C133" s="279">
        <f t="shared" ref="C133" si="44">B133+1</f>
        <v>2</v>
      </c>
      <c r="D133" s="279">
        <f t="shared" si="42"/>
        <v>3</v>
      </c>
      <c r="E133" s="279">
        <f>D133+1</f>
        <v>4</v>
      </c>
      <c r="F133" s="279">
        <f t="shared" si="42"/>
        <v>5</v>
      </c>
      <c r="G133" s="279">
        <f t="shared" si="42"/>
        <v>6</v>
      </c>
      <c r="H133" s="279">
        <f t="shared" si="42"/>
        <v>7</v>
      </c>
      <c r="I133" s="279">
        <f t="shared" si="42"/>
        <v>8</v>
      </c>
      <c r="J133" s="279">
        <f t="shared" si="42"/>
        <v>9</v>
      </c>
      <c r="K133" s="279">
        <f t="shared" si="42"/>
        <v>10</v>
      </c>
      <c r="L133" s="279">
        <f t="shared" si="42"/>
        <v>11</v>
      </c>
      <c r="M133" s="279">
        <f t="shared" si="42"/>
        <v>12</v>
      </c>
      <c r="N133" s="279">
        <f t="shared" si="42"/>
        <v>13</v>
      </c>
      <c r="O133" s="279">
        <f t="shared" si="42"/>
        <v>14</v>
      </c>
      <c r="P133" s="279">
        <f t="shared" si="42"/>
        <v>15</v>
      </c>
      <c r="Q133" s="279">
        <f t="shared" si="42"/>
        <v>16</v>
      </c>
      <c r="R133" s="279">
        <f t="shared" si="42"/>
        <v>17</v>
      </c>
      <c r="S133" s="279">
        <f t="shared" si="42"/>
        <v>18</v>
      </c>
      <c r="T133" s="279">
        <f t="shared" si="43"/>
        <v>19</v>
      </c>
      <c r="U133" s="279">
        <f t="shared" si="43"/>
        <v>20</v>
      </c>
      <c r="V133" s="279">
        <f t="shared" si="43"/>
        <v>21</v>
      </c>
      <c r="W133" s="279">
        <f t="shared" si="43"/>
        <v>22</v>
      </c>
      <c r="X133" s="279">
        <f t="shared" si="43"/>
        <v>23</v>
      </c>
      <c r="Y133" s="279">
        <f t="shared" si="43"/>
        <v>24</v>
      </c>
      <c r="Z133" s="279">
        <f t="shared" si="43"/>
        <v>25</v>
      </c>
      <c r="AA133" s="279">
        <f t="shared" si="43"/>
        <v>26</v>
      </c>
      <c r="AB133" s="279">
        <f t="shared" si="43"/>
        <v>27</v>
      </c>
      <c r="AC133" s="279">
        <f t="shared" si="43"/>
        <v>28</v>
      </c>
      <c r="AD133" s="279">
        <f t="shared" si="43"/>
        <v>29</v>
      </c>
      <c r="AE133" s="279">
        <f t="shared" si="43"/>
        <v>30</v>
      </c>
      <c r="AF133" s="279">
        <f t="shared" si="43"/>
        <v>31</v>
      </c>
      <c r="AG133" s="279">
        <f t="shared" si="43"/>
        <v>32</v>
      </c>
      <c r="AH133" s="191"/>
      <c r="AI133" s="191"/>
      <c r="AJ133" s="191"/>
      <c r="AK133" s="191"/>
      <c r="AL133" s="191"/>
      <c r="AM133" s="191"/>
      <c r="AN133" s="191"/>
      <c r="AO133" s="191"/>
      <c r="AP133" s="191"/>
      <c r="AQ133" s="191"/>
      <c r="AR133" s="191"/>
      <c r="AS133" s="191"/>
      <c r="AT133" s="191"/>
      <c r="AU133" s="191"/>
      <c r="AV133" s="191"/>
      <c r="AW133" s="191"/>
      <c r="AX133" s="191"/>
      <c r="AY133" s="191"/>
      <c r="AZ133" s="191"/>
      <c r="BA133" s="191"/>
    </row>
    <row r="134" spans="1:53" ht="15" hidden="1" x14ac:dyDescent="0.2">
      <c r="A134" s="207"/>
      <c r="B134" s="280">
        <v>0.5</v>
      </c>
      <c r="C134" s="280">
        <f>AVERAGE(B133:C133)</f>
        <v>1.5</v>
      </c>
      <c r="D134" s="280">
        <f>AVERAGE(C133:D133)</f>
        <v>2.5</v>
      </c>
      <c r="E134" s="280">
        <f>AVERAGE(D133:E133)</f>
        <v>3.5</v>
      </c>
      <c r="F134" s="280">
        <f t="shared" ref="F134:AG134" si="45">AVERAGE(E133:F133)</f>
        <v>4.5</v>
      </c>
      <c r="G134" s="280">
        <f t="shared" si="45"/>
        <v>5.5</v>
      </c>
      <c r="H134" s="280">
        <f t="shared" si="45"/>
        <v>6.5</v>
      </c>
      <c r="I134" s="280">
        <f t="shared" si="45"/>
        <v>7.5</v>
      </c>
      <c r="J134" s="280">
        <f t="shared" si="45"/>
        <v>8.5</v>
      </c>
      <c r="K134" s="280">
        <f t="shared" si="45"/>
        <v>9.5</v>
      </c>
      <c r="L134" s="280">
        <f t="shared" si="45"/>
        <v>10.5</v>
      </c>
      <c r="M134" s="280">
        <f t="shared" si="45"/>
        <v>11.5</v>
      </c>
      <c r="N134" s="280">
        <f t="shared" si="45"/>
        <v>12.5</v>
      </c>
      <c r="O134" s="280">
        <f t="shared" si="45"/>
        <v>13.5</v>
      </c>
      <c r="P134" s="280">
        <f t="shared" si="45"/>
        <v>14.5</v>
      </c>
      <c r="Q134" s="280">
        <f t="shared" si="45"/>
        <v>15.5</v>
      </c>
      <c r="R134" s="280">
        <f t="shared" si="45"/>
        <v>16.5</v>
      </c>
      <c r="S134" s="280">
        <f t="shared" si="45"/>
        <v>17.5</v>
      </c>
      <c r="T134" s="280">
        <f t="shared" si="45"/>
        <v>18.5</v>
      </c>
      <c r="U134" s="280">
        <f t="shared" si="45"/>
        <v>19.5</v>
      </c>
      <c r="V134" s="280">
        <f t="shared" si="45"/>
        <v>20.5</v>
      </c>
      <c r="W134" s="280">
        <f t="shared" si="45"/>
        <v>21.5</v>
      </c>
      <c r="X134" s="280">
        <f t="shared" si="45"/>
        <v>22.5</v>
      </c>
      <c r="Y134" s="280">
        <f t="shared" si="45"/>
        <v>23.5</v>
      </c>
      <c r="Z134" s="280">
        <f t="shared" si="45"/>
        <v>24.5</v>
      </c>
      <c r="AA134" s="280">
        <f t="shared" si="45"/>
        <v>25.5</v>
      </c>
      <c r="AB134" s="280">
        <f t="shared" si="45"/>
        <v>26.5</v>
      </c>
      <c r="AC134" s="280">
        <f t="shared" si="45"/>
        <v>27.5</v>
      </c>
      <c r="AD134" s="280">
        <f t="shared" si="45"/>
        <v>28.5</v>
      </c>
      <c r="AE134" s="280">
        <f t="shared" si="45"/>
        <v>29.5</v>
      </c>
      <c r="AF134" s="280">
        <f t="shared" si="45"/>
        <v>30.5</v>
      </c>
      <c r="AG134" s="280">
        <f t="shared" si="45"/>
        <v>31.5</v>
      </c>
      <c r="AH134" s="191"/>
      <c r="AI134" s="191"/>
      <c r="AJ134" s="191"/>
      <c r="AK134" s="191"/>
      <c r="AL134" s="191"/>
      <c r="AM134" s="191"/>
      <c r="AN134" s="191"/>
      <c r="AO134" s="191"/>
      <c r="AP134" s="191"/>
      <c r="AQ134" s="191"/>
      <c r="AR134" s="191"/>
      <c r="AS134" s="191"/>
      <c r="AT134" s="191"/>
      <c r="AU134" s="191"/>
      <c r="AV134" s="191"/>
      <c r="AW134" s="191"/>
      <c r="AX134" s="191"/>
      <c r="AY134" s="191"/>
      <c r="AZ134" s="191"/>
      <c r="BA134" s="191"/>
    </row>
    <row r="135" spans="1:53" ht="12.75" x14ac:dyDescent="0.2">
      <c r="A135" s="207"/>
      <c r="B135" s="191"/>
      <c r="C135" s="191"/>
      <c r="D135" s="191"/>
      <c r="E135" s="191"/>
      <c r="F135" s="191"/>
      <c r="G135" s="191"/>
      <c r="H135" s="191"/>
      <c r="I135" s="191"/>
      <c r="J135" s="191"/>
      <c r="K135" s="191"/>
      <c r="L135" s="191"/>
      <c r="M135" s="191"/>
      <c r="N135" s="191"/>
      <c r="O135" s="191"/>
      <c r="P135" s="191"/>
      <c r="Q135" s="191"/>
      <c r="R135" s="191"/>
      <c r="S135" s="191"/>
      <c r="T135" s="191"/>
      <c r="U135" s="191"/>
      <c r="V135" s="191"/>
      <c r="W135" s="191"/>
      <c r="X135" s="191"/>
      <c r="Y135" s="191"/>
      <c r="Z135" s="191"/>
      <c r="AA135" s="191"/>
      <c r="AB135" s="191"/>
      <c r="AC135" s="191"/>
      <c r="AD135" s="191"/>
      <c r="AE135" s="191"/>
      <c r="AF135" s="191"/>
      <c r="AG135" s="191"/>
      <c r="AH135" s="191"/>
      <c r="AI135" s="191"/>
      <c r="AJ135" s="191"/>
      <c r="AK135" s="191"/>
      <c r="AL135" s="191"/>
      <c r="AM135" s="191"/>
      <c r="AN135" s="191"/>
      <c r="AO135" s="191"/>
      <c r="AP135" s="191"/>
      <c r="AQ135" s="191"/>
      <c r="AR135" s="191"/>
      <c r="AS135" s="191"/>
      <c r="AT135" s="191"/>
      <c r="AU135" s="191"/>
      <c r="AV135" s="191"/>
      <c r="AW135" s="191"/>
      <c r="AX135" s="191"/>
      <c r="AY135" s="191"/>
      <c r="AZ135" s="191"/>
      <c r="BA135" s="191"/>
    </row>
    <row r="136" spans="1:53" ht="12.75" x14ac:dyDescent="0.2">
      <c r="A136" s="207"/>
      <c r="B136" s="191"/>
      <c r="C136" s="191"/>
      <c r="D136" s="191"/>
      <c r="E136" s="191"/>
      <c r="F136" s="191"/>
      <c r="G136" s="191"/>
      <c r="H136" s="191"/>
      <c r="I136" s="191"/>
      <c r="J136" s="191"/>
      <c r="K136" s="191"/>
      <c r="L136" s="191"/>
      <c r="M136" s="191"/>
      <c r="N136" s="191"/>
      <c r="O136" s="191"/>
      <c r="P136" s="191"/>
      <c r="Q136" s="191"/>
      <c r="R136" s="191"/>
      <c r="S136" s="191"/>
      <c r="T136" s="191"/>
      <c r="U136" s="191"/>
      <c r="V136" s="191"/>
      <c r="W136" s="191"/>
      <c r="X136" s="191"/>
      <c r="Y136" s="191"/>
      <c r="Z136" s="191"/>
      <c r="AA136" s="191"/>
      <c r="AB136" s="191"/>
      <c r="AC136" s="191"/>
      <c r="AD136" s="191"/>
      <c r="AE136" s="191"/>
      <c r="AF136" s="191"/>
      <c r="AG136" s="191"/>
      <c r="AH136" s="191"/>
      <c r="AI136" s="191"/>
      <c r="AJ136" s="191"/>
      <c r="AK136" s="191"/>
      <c r="AL136" s="191"/>
      <c r="AM136" s="191"/>
      <c r="AN136" s="191"/>
      <c r="AO136" s="191"/>
      <c r="AP136" s="191"/>
      <c r="AQ136" s="191"/>
      <c r="AR136" s="191"/>
      <c r="AS136" s="191"/>
      <c r="AT136" s="191"/>
      <c r="AU136" s="191"/>
      <c r="AV136" s="191"/>
      <c r="AW136" s="191"/>
      <c r="AX136" s="191"/>
      <c r="AY136" s="191"/>
      <c r="AZ136" s="191"/>
      <c r="BA136" s="191"/>
    </row>
    <row r="137" spans="1:53" ht="12.75" x14ac:dyDescent="0.2">
      <c r="A137" s="207"/>
      <c r="B137" s="191"/>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91"/>
      <c r="AR137" s="191"/>
      <c r="AS137" s="191"/>
      <c r="AT137" s="191"/>
      <c r="AU137" s="191"/>
      <c r="AV137" s="191"/>
      <c r="AW137" s="191"/>
      <c r="AX137" s="191"/>
      <c r="AY137" s="191"/>
      <c r="AZ137" s="191"/>
      <c r="BA137" s="191"/>
    </row>
    <row r="138" spans="1:53" ht="12.75" x14ac:dyDescent="0.2">
      <c r="A138" s="207"/>
      <c r="B138" s="191"/>
      <c r="C138" s="191"/>
      <c r="D138" s="191"/>
      <c r="E138" s="191"/>
      <c r="F138" s="191"/>
      <c r="G138" s="191"/>
      <c r="H138" s="191"/>
      <c r="I138" s="191"/>
      <c r="J138" s="191"/>
      <c r="K138" s="191"/>
      <c r="L138" s="191"/>
      <c r="M138" s="191"/>
      <c r="N138" s="191"/>
      <c r="O138" s="191"/>
      <c r="P138" s="191"/>
      <c r="Q138" s="191"/>
      <c r="R138" s="191"/>
      <c r="S138" s="191"/>
      <c r="T138" s="191"/>
      <c r="U138" s="191"/>
      <c r="V138" s="191"/>
      <c r="W138" s="191"/>
      <c r="X138" s="191"/>
      <c r="Y138" s="191"/>
      <c r="Z138" s="191"/>
      <c r="AA138" s="191"/>
      <c r="AB138" s="191"/>
      <c r="AC138" s="191"/>
      <c r="AD138" s="191"/>
      <c r="AE138" s="191"/>
      <c r="AF138" s="191"/>
      <c r="AG138" s="191"/>
      <c r="AH138" s="191"/>
      <c r="AI138" s="191"/>
      <c r="AJ138" s="191"/>
      <c r="AK138" s="191"/>
      <c r="AL138" s="191"/>
      <c r="AM138" s="191"/>
      <c r="AN138" s="191"/>
      <c r="AO138" s="191"/>
      <c r="AP138" s="191"/>
      <c r="AQ138" s="191"/>
      <c r="AR138" s="191"/>
      <c r="AS138" s="191"/>
      <c r="AT138" s="191"/>
      <c r="AU138" s="191"/>
      <c r="AV138" s="191"/>
      <c r="AW138" s="191"/>
      <c r="AX138" s="191"/>
      <c r="AY138" s="191"/>
      <c r="AZ138" s="191"/>
      <c r="BA138" s="191"/>
    </row>
    <row r="139" spans="1:53" ht="12.75" x14ac:dyDescent="0.2">
      <c r="A139" s="207"/>
      <c r="B139" s="191"/>
      <c r="C139" s="191"/>
      <c r="D139" s="191"/>
      <c r="E139" s="191"/>
      <c r="F139" s="191"/>
      <c r="G139" s="191"/>
      <c r="H139" s="191"/>
      <c r="I139" s="191"/>
      <c r="J139" s="191"/>
      <c r="K139" s="191"/>
      <c r="L139" s="191"/>
      <c r="M139" s="191"/>
      <c r="N139" s="191"/>
      <c r="O139" s="191"/>
      <c r="P139" s="191"/>
      <c r="Q139" s="191"/>
      <c r="R139" s="191"/>
      <c r="S139" s="191"/>
      <c r="T139" s="191"/>
      <c r="U139" s="191"/>
      <c r="V139" s="191"/>
      <c r="W139" s="191"/>
      <c r="X139" s="191"/>
      <c r="Y139" s="191"/>
      <c r="Z139" s="191"/>
      <c r="AA139" s="191"/>
      <c r="AB139" s="191"/>
      <c r="AC139" s="191"/>
      <c r="AD139" s="191"/>
      <c r="AE139" s="191"/>
      <c r="AF139" s="191"/>
      <c r="AG139" s="191"/>
      <c r="AH139" s="191"/>
      <c r="AI139" s="191"/>
      <c r="AJ139" s="191"/>
      <c r="AK139" s="191"/>
      <c r="AL139" s="191"/>
      <c r="AM139" s="191"/>
      <c r="AN139" s="191"/>
      <c r="AO139" s="191"/>
      <c r="AP139" s="191"/>
      <c r="AQ139" s="191"/>
      <c r="AR139" s="191"/>
      <c r="AS139" s="191"/>
      <c r="AT139" s="191"/>
      <c r="AU139" s="191"/>
      <c r="AV139" s="191"/>
      <c r="AW139" s="191"/>
      <c r="AX139" s="191"/>
      <c r="AY139" s="191"/>
      <c r="AZ139" s="191"/>
      <c r="BA139" s="191"/>
    </row>
    <row r="140" spans="1:53" ht="12.75" x14ac:dyDescent="0.2">
      <c r="A140" s="207"/>
      <c r="B140" s="191"/>
      <c r="C140" s="191"/>
      <c r="D140" s="191"/>
      <c r="E140" s="191"/>
      <c r="F140" s="191"/>
      <c r="G140" s="191"/>
      <c r="H140" s="191"/>
      <c r="I140" s="191"/>
      <c r="J140" s="191"/>
      <c r="K140" s="191"/>
      <c r="L140" s="191"/>
      <c r="M140" s="191"/>
      <c r="N140" s="191"/>
      <c r="O140" s="191"/>
      <c r="P140" s="191"/>
      <c r="Q140" s="191"/>
      <c r="R140" s="191"/>
      <c r="S140" s="191"/>
      <c r="T140" s="191"/>
      <c r="U140" s="191"/>
      <c r="V140" s="191"/>
      <c r="W140" s="191"/>
      <c r="X140" s="191"/>
      <c r="Y140" s="191"/>
      <c r="Z140" s="191"/>
      <c r="AA140" s="191"/>
      <c r="AB140" s="191"/>
      <c r="AC140" s="191"/>
      <c r="AD140" s="191"/>
      <c r="AE140" s="191"/>
      <c r="AF140" s="191"/>
      <c r="AG140" s="191"/>
      <c r="AH140" s="191"/>
      <c r="AI140" s="191"/>
      <c r="AJ140" s="191"/>
      <c r="AK140" s="191"/>
      <c r="AL140" s="191"/>
      <c r="AM140" s="191"/>
      <c r="AN140" s="191"/>
      <c r="AO140" s="191"/>
      <c r="AP140" s="191"/>
      <c r="AQ140" s="191"/>
      <c r="AR140" s="191"/>
      <c r="AS140" s="191"/>
      <c r="AT140" s="191"/>
      <c r="AU140" s="191"/>
      <c r="AV140" s="191"/>
      <c r="AW140" s="191"/>
      <c r="AX140" s="191"/>
      <c r="AY140" s="191"/>
      <c r="AZ140" s="191"/>
      <c r="BA140" s="191"/>
    </row>
    <row r="141" spans="1:53" ht="12.75" x14ac:dyDescent="0.2">
      <c r="A141" s="207"/>
      <c r="B141" s="191"/>
      <c r="C141" s="191"/>
      <c r="D141" s="191"/>
      <c r="E141" s="191"/>
      <c r="F141" s="191"/>
      <c r="G141" s="191"/>
      <c r="H141" s="191"/>
      <c r="I141" s="191"/>
      <c r="J141" s="191"/>
      <c r="K141" s="191"/>
      <c r="L141" s="191"/>
      <c r="M141" s="191"/>
      <c r="N141" s="191"/>
      <c r="O141" s="191"/>
      <c r="P141" s="191"/>
      <c r="Q141" s="191"/>
      <c r="R141" s="191"/>
      <c r="S141" s="191"/>
      <c r="T141" s="191"/>
      <c r="U141" s="191"/>
      <c r="V141" s="191"/>
      <c r="W141" s="191"/>
      <c r="X141" s="191"/>
      <c r="Y141" s="191"/>
      <c r="Z141" s="191"/>
      <c r="AA141" s="191"/>
      <c r="AB141" s="191"/>
      <c r="AC141" s="191"/>
      <c r="AD141" s="191"/>
      <c r="AE141" s="191"/>
      <c r="AF141" s="191"/>
      <c r="AG141" s="191"/>
      <c r="AH141" s="191"/>
      <c r="AI141" s="191"/>
      <c r="AJ141" s="191"/>
      <c r="AK141" s="191"/>
      <c r="AL141" s="191"/>
      <c r="AM141" s="191"/>
      <c r="AN141" s="191"/>
      <c r="AO141" s="191"/>
      <c r="AP141" s="191"/>
      <c r="AQ141" s="191"/>
      <c r="AR141" s="191"/>
      <c r="AS141" s="191"/>
      <c r="AT141" s="191"/>
      <c r="AU141" s="191"/>
      <c r="AV141" s="191"/>
      <c r="AW141" s="191"/>
      <c r="AX141" s="191"/>
      <c r="AY141" s="191"/>
      <c r="AZ141" s="191"/>
      <c r="BA141" s="191"/>
    </row>
    <row r="142" spans="1:53" ht="12.75" x14ac:dyDescent="0.2">
      <c r="A142" s="207"/>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Q142" s="191"/>
      <c r="AR142" s="191"/>
      <c r="AS142" s="191"/>
      <c r="AT142" s="191"/>
      <c r="AU142" s="191"/>
      <c r="AV142" s="191"/>
      <c r="AW142" s="191"/>
      <c r="AX142" s="191"/>
      <c r="AY142" s="191"/>
      <c r="AZ142" s="191"/>
      <c r="BA142" s="191"/>
    </row>
    <row r="143" spans="1:53" ht="12.75" x14ac:dyDescent="0.2">
      <c r="A143" s="207"/>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c r="AT143" s="191"/>
      <c r="AU143" s="191"/>
      <c r="AV143" s="191"/>
      <c r="AW143" s="191"/>
      <c r="AX143" s="191"/>
      <c r="AY143" s="191"/>
      <c r="AZ143" s="191"/>
      <c r="BA143" s="191"/>
    </row>
    <row r="144" spans="1:53" ht="12.75" x14ac:dyDescent="0.2">
      <c r="A144" s="207"/>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c r="AT144" s="191"/>
      <c r="AU144" s="191"/>
      <c r="AV144" s="191"/>
      <c r="AW144" s="191"/>
      <c r="AX144" s="191"/>
      <c r="AY144" s="191"/>
      <c r="AZ144" s="191"/>
      <c r="BA144" s="191"/>
    </row>
    <row r="145" spans="1:53" ht="12.75" x14ac:dyDescent="0.2">
      <c r="A145" s="207"/>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c r="AT145" s="191"/>
      <c r="AU145" s="191"/>
      <c r="AV145" s="191"/>
      <c r="AW145" s="191"/>
      <c r="AX145" s="191"/>
      <c r="AY145" s="191"/>
      <c r="AZ145" s="191"/>
      <c r="BA145" s="191"/>
    </row>
    <row r="146" spans="1:53" ht="12.75" x14ac:dyDescent="0.2">
      <c r="A146" s="207"/>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c r="AT146" s="191"/>
      <c r="AU146" s="191"/>
      <c r="AV146" s="191"/>
      <c r="AW146" s="191"/>
      <c r="AX146" s="191"/>
      <c r="AY146" s="191"/>
      <c r="AZ146" s="191"/>
      <c r="BA146" s="191"/>
    </row>
    <row r="147" spans="1:53" ht="12.75" x14ac:dyDescent="0.2">
      <c r="A147" s="207"/>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c r="AT147" s="191"/>
      <c r="AU147" s="191"/>
      <c r="AV147" s="191"/>
      <c r="AW147" s="191"/>
      <c r="AX147" s="191"/>
      <c r="AY147" s="191"/>
      <c r="AZ147" s="191"/>
      <c r="BA147" s="191"/>
    </row>
    <row r="148" spans="1:53" ht="12.75" x14ac:dyDescent="0.2">
      <c r="A148" s="207"/>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c r="AT148" s="191"/>
      <c r="AU148" s="191"/>
      <c r="AV148" s="191"/>
      <c r="AW148" s="191"/>
      <c r="AX148" s="191"/>
      <c r="AY148" s="191"/>
      <c r="AZ148" s="191"/>
      <c r="BA148" s="191"/>
    </row>
    <row r="149" spans="1:53"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row>
    <row r="150" spans="1:53"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row>
    <row r="151" spans="1:53" ht="12.75"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row>
    <row r="152" spans="1:53" ht="12.75"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row>
    <row r="153" spans="1:53" ht="12.75"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row>
    <row r="154" spans="1:53" ht="12.75"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row>
    <row r="155" spans="1:53" ht="12.75"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row>
    <row r="156" spans="1:53" ht="12.75" x14ac:dyDescent="0.2">
      <c r="A156" s="192"/>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row>
    <row r="157" spans="1:53" ht="12.75" x14ac:dyDescent="0.2">
      <c r="A157" s="192"/>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row>
    <row r="158" spans="1:53" ht="12.75" x14ac:dyDescent="0.2">
      <c r="A158" s="192"/>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row>
    <row r="159" spans="1:53" ht="12.75" x14ac:dyDescent="0.2">
      <c r="A159" s="192"/>
      <c r="B159" s="190"/>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0"/>
      <c r="AR159" s="190"/>
      <c r="AS159" s="190"/>
      <c r="AT159" s="190"/>
      <c r="AU159" s="190"/>
      <c r="AV159" s="190"/>
      <c r="AW159" s="190"/>
      <c r="AX159" s="190"/>
      <c r="AY159" s="190"/>
      <c r="AZ159" s="190"/>
      <c r="BA159" s="190"/>
    </row>
    <row r="160" spans="1:53" ht="12.75" x14ac:dyDescent="0.2">
      <c r="A160" s="192"/>
      <c r="B160" s="190"/>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0"/>
      <c r="AR160" s="190"/>
      <c r="AS160" s="190"/>
      <c r="AT160" s="190"/>
      <c r="AU160" s="190"/>
      <c r="AV160" s="190"/>
      <c r="AW160" s="190"/>
      <c r="AX160" s="190"/>
      <c r="AY160" s="190"/>
      <c r="AZ160" s="190"/>
      <c r="BA160" s="190"/>
    </row>
    <row r="161" spans="1:53" ht="12.75" x14ac:dyDescent="0.2">
      <c r="A161" s="192"/>
      <c r="B161" s="190"/>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0"/>
      <c r="AR161" s="190"/>
      <c r="AS161" s="190"/>
      <c r="AT161" s="190"/>
      <c r="AU161" s="190"/>
      <c r="AV161" s="190"/>
      <c r="AW161" s="190"/>
      <c r="AX161" s="190"/>
      <c r="AY161" s="190"/>
      <c r="AZ161" s="190"/>
      <c r="BA161" s="190"/>
    </row>
    <row r="162" spans="1:53" ht="12.75" x14ac:dyDescent="0.2">
      <c r="A162" s="192"/>
      <c r="B162" s="190"/>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0"/>
      <c r="AR162" s="190"/>
      <c r="AS162" s="190"/>
      <c r="AT162" s="190"/>
      <c r="AU162" s="190"/>
      <c r="AV162" s="190"/>
      <c r="AW162" s="190"/>
      <c r="AX162" s="190"/>
      <c r="AY162" s="190"/>
      <c r="AZ162" s="190"/>
      <c r="BA162" s="190"/>
    </row>
    <row r="163" spans="1:53" ht="12.75" x14ac:dyDescent="0.2">
      <c r="A163" s="192"/>
      <c r="B163" s="190"/>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0"/>
      <c r="AR163" s="190"/>
      <c r="AS163" s="190"/>
      <c r="AT163" s="190"/>
      <c r="AU163" s="190"/>
      <c r="AV163" s="190"/>
      <c r="AW163" s="190"/>
      <c r="AX163" s="190"/>
      <c r="AY163" s="190"/>
      <c r="AZ163" s="190"/>
      <c r="BA163" s="190"/>
    </row>
    <row r="164" spans="1:53" ht="12.75" x14ac:dyDescent="0.2">
      <c r="A164" s="192"/>
      <c r="B164" s="190"/>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0"/>
      <c r="AR164" s="190"/>
      <c r="AS164" s="190"/>
      <c r="AT164" s="190"/>
      <c r="AU164" s="190"/>
      <c r="AV164" s="190"/>
      <c r="AW164" s="190"/>
      <c r="AX164" s="190"/>
      <c r="AY164" s="190"/>
      <c r="AZ164" s="190"/>
      <c r="BA164" s="190"/>
    </row>
    <row r="165" spans="1:53" ht="12.75" x14ac:dyDescent="0.2">
      <c r="A165" s="192"/>
      <c r="B165" s="190"/>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0"/>
      <c r="AR165" s="190"/>
      <c r="AS165" s="190"/>
      <c r="AT165" s="190"/>
      <c r="AU165" s="190"/>
      <c r="AV165" s="190"/>
      <c r="AW165" s="190"/>
      <c r="AX165" s="190"/>
      <c r="AY165" s="190"/>
      <c r="AZ165" s="190"/>
      <c r="BA165" s="190"/>
    </row>
    <row r="166" spans="1:53" ht="12.75" x14ac:dyDescent="0.2">
      <c r="A166" s="192"/>
      <c r="B166" s="190"/>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0"/>
      <c r="AR166" s="190"/>
      <c r="AS166" s="190"/>
      <c r="AT166" s="190"/>
      <c r="AU166" s="190"/>
      <c r="AV166" s="190"/>
      <c r="AW166" s="190"/>
      <c r="AX166" s="190"/>
      <c r="AY166" s="190"/>
      <c r="AZ166" s="190"/>
      <c r="BA166" s="190"/>
    </row>
    <row r="167" spans="1:53" ht="12.75" x14ac:dyDescent="0.2">
      <c r="A167" s="192"/>
      <c r="B167" s="190"/>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0"/>
      <c r="AR167" s="190"/>
      <c r="AS167" s="190"/>
      <c r="AT167" s="190"/>
      <c r="AU167" s="190"/>
      <c r="AV167" s="190"/>
      <c r="AW167" s="190"/>
      <c r="AX167" s="190"/>
      <c r="AY167" s="190"/>
      <c r="AZ167" s="190"/>
      <c r="BA167" s="190"/>
    </row>
    <row r="168" spans="1:53" ht="12.75" x14ac:dyDescent="0.2">
      <c r="A168" s="192"/>
      <c r="B168" s="190"/>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0"/>
      <c r="AR168" s="190"/>
      <c r="AS168" s="190"/>
      <c r="AT168" s="190"/>
      <c r="AU168" s="190"/>
      <c r="AV168" s="190"/>
      <c r="AW168" s="190"/>
      <c r="AX168" s="190"/>
      <c r="AY168" s="190"/>
      <c r="AZ168" s="190"/>
      <c r="BA168" s="190"/>
    </row>
    <row r="169" spans="1:53" ht="12.75" x14ac:dyDescent="0.2">
      <c r="A169" s="192"/>
      <c r="B169" s="190"/>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0"/>
      <c r="AR169" s="190"/>
      <c r="AS169" s="190"/>
      <c r="AT169" s="190"/>
      <c r="AU169" s="190"/>
      <c r="AV169" s="190"/>
      <c r="AW169" s="190"/>
      <c r="AX169" s="190"/>
      <c r="AY169" s="190"/>
      <c r="AZ169" s="190"/>
      <c r="BA169" s="190"/>
    </row>
    <row r="170" spans="1:53" ht="12.75" x14ac:dyDescent="0.2">
      <c r="A170" s="192"/>
      <c r="B170" s="190"/>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0"/>
      <c r="AR170" s="190"/>
      <c r="AS170" s="190"/>
      <c r="AT170" s="190"/>
      <c r="AU170" s="190"/>
      <c r="AV170" s="190"/>
      <c r="AW170" s="190"/>
      <c r="AX170" s="190"/>
      <c r="AY170" s="190"/>
      <c r="AZ170" s="190"/>
      <c r="BA170" s="190"/>
    </row>
    <row r="171" spans="1:53" ht="12.75" x14ac:dyDescent="0.2">
      <c r="A171" s="192"/>
      <c r="B171" s="190"/>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0"/>
      <c r="AR171" s="190"/>
      <c r="AS171" s="190"/>
      <c r="AT171" s="190"/>
      <c r="AU171" s="190"/>
      <c r="AV171" s="190"/>
      <c r="AW171" s="190"/>
      <c r="AX171" s="190"/>
      <c r="AY171" s="190"/>
      <c r="AZ171" s="190"/>
      <c r="BA171" s="190"/>
    </row>
    <row r="172" spans="1:53" ht="12.75" x14ac:dyDescent="0.2">
      <c r="A172" s="192"/>
      <c r="B172" s="190"/>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0"/>
      <c r="AR172" s="190"/>
      <c r="AS172" s="190"/>
      <c r="AT172" s="190"/>
      <c r="AU172" s="190"/>
      <c r="AV172" s="190"/>
      <c r="AW172" s="190"/>
      <c r="AX172" s="190"/>
      <c r="AY172" s="190"/>
      <c r="AZ172" s="190"/>
      <c r="BA172" s="190"/>
    </row>
    <row r="173" spans="1:53" ht="12.75" x14ac:dyDescent="0.2">
      <c r="A173" s="192"/>
      <c r="B173" s="190"/>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0"/>
      <c r="AR173" s="190"/>
      <c r="AS173" s="190"/>
      <c r="AT173" s="190"/>
      <c r="AU173" s="190"/>
      <c r="AV173" s="190"/>
      <c r="AW173" s="190"/>
      <c r="AX173" s="190"/>
      <c r="AY173" s="190"/>
      <c r="AZ173" s="190"/>
      <c r="BA173" s="190"/>
    </row>
    <row r="174" spans="1:53" ht="12.75" x14ac:dyDescent="0.2">
      <c r="A174" s="192"/>
      <c r="B174" s="190"/>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0"/>
      <c r="AR174" s="190"/>
      <c r="AS174" s="190"/>
      <c r="AT174" s="190"/>
      <c r="AU174" s="190"/>
      <c r="AV174" s="190"/>
      <c r="AW174" s="190"/>
      <c r="AX174" s="190"/>
      <c r="AY174" s="190"/>
      <c r="AZ174" s="190"/>
      <c r="BA174" s="190"/>
    </row>
    <row r="175" spans="1:53" ht="12.75" x14ac:dyDescent="0.2">
      <c r="A175" s="192"/>
      <c r="B175" s="190"/>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0"/>
      <c r="AR175" s="190"/>
      <c r="AS175" s="190"/>
      <c r="AT175" s="190"/>
      <c r="AU175" s="190"/>
      <c r="AV175" s="190"/>
      <c r="AW175" s="190"/>
      <c r="AX175" s="190"/>
      <c r="AY175" s="190"/>
      <c r="AZ175" s="190"/>
      <c r="BA175" s="190"/>
    </row>
    <row r="176" spans="1:53" ht="12.75" x14ac:dyDescent="0.2">
      <c r="A176" s="192"/>
      <c r="B176" s="190"/>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0"/>
      <c r="AR176" s="190"/>
      <c r="AS176" s="190"/>
      <c r="AT176" s="190"/>
      <c r="AU176" s="190"/>
      <c r="AV176" s="190"/>
      <c r="AW176" s="190"/>
      <c r="AX176" s="190"/>
      <c r="AY176" s="190"/>
      <c r="AZ176" s="190"/>
      <c r="BA176" s="190"/>
    </row>
    <row r="177" spans="1:53" ht="12.75" x14ac:dyDescent="0.2">
      <c r="A177" s="192"/>
      <c r="B177" s="190"/>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0"/>
      <c r="AR177" s="190"/>
      <c r="AS177" s="190"/>
      <c r="AT177" s="190"/>
      <c r="AU177" s="190"/>
      <c r="AV177" s="190"/>
      <c r="AW177" s="190"/>
      <c r="AX177" s="190"/>
      <c r="AY177" s="190"/>
      <c r="AZ177" s="190"/>
      <c r="BA177" s="190"/>
    </row>
    <row r="178" spans="1:53" ht="12.75" x14ac:dyDescent="0.2">
      <c r="A178" s="192"/>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0"/>
      <c r="AR178" s="190"/>
      <c r="AS178" s="190"/>
      <c r="AT178" s="190"/>
      <c r="AU178" s="190"/>
      <c r="AV178" s="190"/>
      <c r="AW178" s="190"/>
      <c r="AX178" s="190"/>
      <c r="AY178" s="190"/>
      <c r="AZ178" s="190"/>
      <c r="BA178" s="190"/>
    </row>
    <row r="179" spans="1:53" ht="12.75" x14ac:dyDescent="0.2">
      <c r="A179" s="192"/>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0"/>
      <c r="AR179" s="190"/>
      <c r="AS179" s="190"/>
      <c r="AT179" s="190"/>
      <c r="AU179" s="190"/>
      <c r="AV179" s="190"/>
      <c r="AW179" s="190"/>
      <c r="AX179" s="190"/>
      <c r="AY179" s="190"/>
      <c r="AZ179" s="190"/>
      <c r="BA179" s="190"/>
    </row>
    <row r="180" spans="1:53" ht="12.75" x14ac:dyDescent="0.2">
      <c r="A180" s="192"/>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0"/>
      <c r="AR180" s="190"/>
      <c r="AS180" s="190"/>
      <c r="AT180" s="190"/>
      <c r="AU180" s="190"/>
      <c r="AV180" s="190"/>
      <c r="AW180" s="190"/>
      <c r="AX180" s="190"/>
      <c r="AY180" s="190"/>
      <c r="AZ180" s="190"/>
      <c r="BA180" s="190"/>
    </row>
    <row r="181" spans="1:53" ht="12.75" x14ac:dyDescent="0.2">
      <c r="A181" s="192"/>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c r="AT181" s="190"/>
      <c r="AU181" s="190"/>
      <c r="AV181" s="190"/>
      <c r="AW181" s="190"/>
      <c r="AX181" s="190"/>
      <c r="AY181" s="190"/>
      <c r="AZ181" s="190"/>
      <c r="BA181" s="190"/>
    </row>
    <row r="182" spans="1:53" ht="12.75" x14ac:dyDescent="0.2">
      <c r="A182" s="192"/>
      <c r="B182" s="190"/>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0"/>
      <c r="AR182" s="190"/>
      <c r="AS182" s="190"/>
      <c r="AT182" s="190"/>
      <c r="AU182" s="190"/>
      <c r="AV182" s="190"/>
      <c r="AW182" s="190"/>
      <c r="AX182" s="190"/>
      <c r="AY182" s="190"/>
      <c r="AZ182" s="190"/>
      <c r="BA182" s="190"/>
    </row>
    <row r="183" spans="1:53" ht="12.75" x14ac:dyDescent="0.2">
      <c r="A183" s="192"/>
      <c r="B183" s="190"/>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0"/>
      <c r="AR183" s="190"/>
      <c r="AS183" s="190"/>
      <c r="AT183" s="190"/>
      <c r="AU183" s="190"/>
      <c r="AV183" s="190"/>
      <c r="AW183" s="190"/>
      <c r="AX183" s="190"/>
      <c r="AY183" s="190"/>
      <c r="AZ183" s="190"/>
      <c r="BA183" s="190"/>
    </row>
    <row r="184" spans="1:53" ht="12.75" x14ac:dyDescent="0.2">
      <c r="A184" s="192"/>
      <c r="B184" s="190"/>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0"/>
      <c r="AR184" s="190"/>
      <c r="AS184" s="190"/>
      <c r="AT184" s="190"/>
      <c r="AU184" s="190"/>
      <c r="AV184" s="190"/>
      <c r="AW184" s="190"/>
      <c r="AX184" s="190"/>
      <c r="AY184" s="190"/>
      <c r="AZ184" s="190"/>
      <c r="BA184" s="190"/>
    </row>
    <row r="185" spans="1:53" ht="12.75" x14ac:dyDescent="0.2">
      <c r="A185" s="192"/>
      <c r="B185" s="190"/>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0"/>
      <c r="AR185" s="190"/>
      <c r="AS185" s="190"/>
      <c r="AT185" s="190"/>
      <c r="AU185" s="190"/>
      <c r="AV185" s="190"/>
      <c r="AW185" s="190"/>
      <c r="AX185" s="190"/>
      <c r="AY185" s="190"/>
      <c r="AZ185" s="190"/>
      <c r="BA185" s="190"/>
    </row>
    <row r="186" spans="1:53" ht="12.75" x14ac:dyDescent="0.2">
      <c r="A186" s="192"/>
      <c r="B186" s="190"/>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0"/>
      <c r="AR186" s="190"/>
      <c r="AS186" s="190"/>
      <c r="AT186" s="190"/>
      <c r="AU186" s="190"/>
      <c r="AV186" s="190"/>
      <c r="AW186" s="190"/>
      <c r="AX186" s="190"/>
      <c r="AY186" s="190"/>
      <c r="AZ186" s="190"/>
      <c r="BA186" s="190"/>
    </row>
    <row r="187" spans="1:53" ht="12.75" x14ac:dyDescent="0.2">
      <c r="A187" s="192"/>
      <c r="B187" s="190"/>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0"/>
      <c r="AR187" s="190"/>
      <c r="AS187" s="190"/>
      <c r="AT187" s="190"/>
      <c r="AU187" s="190"/>
      <c r="AV187" s="190"/>
      <c r="AW187" s="190"/>
      <c r="AX187" s="190"/>
      <c r="AY187" s="190"/>
      <c r="AZ187" s="190"/>
      <c r="BA187" s="190"/>
    </row>
    <row r="188" spans="1:53" ht="12.75" x14ac:dyDescent="0.2">
      <c r="A188" s="192"/>
      <c r="B188" s="190"/>
      <c r="C188" s="190"/>
      <c r="D188" s="190"/>
      <c r="E188" s="190"/>
      <c r="F188" s="190"/>
      <c r="G188" s="190"/>
      <c r="H188" s="190"/>
      <c r="I188" s="190"/>
      <c r="J188" s="190"/>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0"/>
      <c r="AR188" s="190"/>
      <c r="AS188" s="190"/>
      <c r="AT188" s="190"/>
      <c r="AU188" s="190"/>
      <c r="AV188" s="190"/>
      <c r="AW188" s="190"/>
      <c r="AX188" s="190"/>
      <c r="AY188" s="190"/>
      <c r="AZ188" s="190"/>
      <c r="BA188" s="190"/>
    </row>
    <row r="189" spans="1:53" ht="12.75" x14ac:dyDescent="0.2">
      <c r="A189" s="192"/>
      <c r="B189" s="190"/>
      <c r="C189" s="190"/>
      <c r="D189" s="190"/>
      <c r="E189" s="190"/>
      <c r="F189" s="190"/>
      <c r="G189" s="190"/>
      <c r="H189" s="190"/>
      <c r="I189" s="190"/>
      <c r="J189" s="190"/>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0"/>
      <c r="AR189" s="190"/>
      <c r="AS189" s="190"/>
      <c r="AT189" s="190"/>
      <c r="AU189" s="190"/>
      <c r="AV189" s="190"/>
      <c r="AW189" s="190"/>
      <c r="AX189" s="190"/>
      <c r="AY189" s="190"/>
      <c r="AZ189" s="190"/>
      <c r="BA189" s="190"/>
    </row>
    <row r="190" spans="1:53" ht="12.75" x14ac:dyDescent="0.2">
      <c r="A190" s="192"/>
      <c r="B190" s="190"/>
      <c r="C190" s="190"/>
      <c r="D190" s="190"/>
      <c r="E190" s="190"/>
      <c r="F190" s="190"/>
      <c r="G190" s="190"/>
      <c r="H190" s="190"/>
      <c r="I190" s="190"/>
      <c r="J190" s="190"/>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0"/>
      <c r="AR190" s="190"/>
      <c r="AS190" s="190"/>
      <c r="AT190" s="190"/>
      <c r="AU190" s="190"/>
      <c r="AV190" s="190"/>
      <c r="AW190" s="190"/>
      <c r="AX190" s="190"/>
      <c r="AY190" s="190"/>
      <c r="AZ190" s="190"/>
      <c r="BA190" s="190"/>
    </row>
    <row r="191" spans="1:53" ht="12.75" x14ac:dyDescent="0.2">
      <c r="A191" s="192"/>
      <c r="B191" s="190"/>
      <c r="C191" s="190"/>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c r="AT191" s="190"/>
      <c r="AU191" s="190"/>
      <c r="AV191" s="190"/>
      <c r="AW191" s="190"/>
      <c r="AX191" s="190"/>
      <c r="AY191" s="190"/>
      <c r="AZ191" s="190"/>
      <c r="BA191" s="190"/>
    </row>
    <row r="192" spans="1:53" ht="12.75" x14ac:dyDescent="0.2">
      <c r="A192" s="192"/>
      <c r="B192" s="190"/>
      <c r="C192" s="190"/>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0"/>
      <c r="AR192" s="190"/>
      <c r="AS192" s="190"/>
      <c r="AT192" s="190"/>
      <c r="AU192" s="190"/>
      <c r="AV192" s="190"/>
      <c r="AW192" s="190"/>
      <c r="AX192" s="190"/>
      <c r="AY192" s="190"/>
      <c r="AZ192" s="190"/>
      <c r="BA192" s="190"/>
    </row>
    <row r="193" spans="1:53" ht="12.75" x14ac:dyDescent="0.2">
      <c r="A193" s="192"/>
      <c r="B193" s="190"/>
      <c r="C193" s="190"/>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0"/>
      <c r="AR193" s="190"/>
      <c r="AS193" s="190"/>
      <c r="AT193" s="190"/>
      <c r="AU193" s="190"/>
      <c r="AV193" s="190"/>
      <c r="AW193" s="190"/>
      <c r="AX193" s="190"/>
      <c r="AY193" s="190"/>
      <c r="AZ193" s="190"/>
      <c r="BA193" s="190"/>
    </row>
    <row r="194" spans="1:53" ht="12.75" x14ac:dyDescent="0.2">
      <c r="A194" s="192"/>
      <c r="B194" s="190"/>
      <c r="C194" s="190"/>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0"/>
      <c r="AR194" s="190"/>
      <c r="AS194" s="190"/>
      <c r="AT194" s="190"/>
      <c r="AU194" s="190"/>
      <c r="AV194" s="190"/>
      <c r="AW194" s="190"/>
      <c r="AX194" s="190"/>
      <c r="AY194" s="190"/>
      <c r="AZ194" s="190"/>
      <c r="BA194" s="190"/>
    </row>
    <row r="195" spans="1:53" ht="12.75" x14ac:dyDescent="0.2">
      <c r="A195" s="192"/>
      <c r="B195" s="190"/>
      <c r="C195" s="190"/>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c r="AT195" s="190"/>
      <c r="AU195" s="190"/>
      <c r="AV195" s="190"/>
      <c r="AW195" s="190"/>
      <c r="AX195" s="190"/>
      <c r="AY195" s="190"/>
      <c r="AZ195" s="190"/>
      <c r="BA195" s="190"/>
    </row>
    <row r="196" spans="1:53" ht="12.75" x14ac:dyDescent="0.2">
      <c r="A196" s="192"/>
      <c r="B196" s="190"/>
      <c r="C196" s="190"/>
      <c r="D196" s="190"/>
      <c r="E196" s="190"/>
      <c r="F196" s="190"/>
      <c r="G196" s="190"/>
      <c r="H196" s="190"/>
      <c r="I196" s="190"/>
      <c r="J196" s="190"/>
      <c r="K196" s="190"/>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0"/>
      <c r="AR196" s="190"/>
      <c r="AS196" s="190"/>
      <c r="AT196" s="190"/>
      <c r="AU196" s="190"/>
      <c r="AV196" s="190"/>
      <c r="AW196" s="190"/>
      <c r="AX196" s="190"/>
      <c r="AY196" s="190"/>
      <c r="AZ196" s="190"/>
      <c r="BA196" s="190"/>
    </row>
    <row r="197" spans="1:53" ht="12.75" x14ac:dyDescent="0.2">
      <c r="A197" s="192"/>
      <c r="B197" s="190"/>
      <c r="C197" s="190"/>
      <c r="D197" s="190"/>
      <c r="E197" s="190"/>
      <c r="F197" s="190"/>
      <c r="G197" s="190"/>
      <c r="H197" s="190"/>
      <c r="I197" s="190"/>
      <c r="J197" s="190"/>
      <c r="K197" s="190"/>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0"/>
      <c r="AR197" s="190"/>
      <c r="AS197" s="190"/>
      <c r="AT197" s="190"/>
      <c r="AU197" s="190"/>
      <c r="AV197" s="190"/>
      <c r="AW197" s="190"/>
      <c r="AX197" s="190"/>
      <c r="AY197" s="190"/>
      <c r="AZ197" s="190"/>
      <c r="BA197" s="190"/>
    </row>
    <row r="198" spans="1:53" ht="12.75" x14ac:dyDescent="0.2">
      <c r="A198" s="192"/>
      <c r="B198" s="190"/>
      <c r="C198" s="190"/>
      <c r="D198" s="190"/>
      <c r="E198" s="190"/>
      <c r="F198" s="190"/>
      <c r="G198" s="190"/>
      <c r="H198" s="190"/>
      <c r="I198" s="190"/>
      <c r="J198" s="190"/>
      <c r="K198" s="190"/>
      <c r="L198" s="190"/>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c r="AM198" s="190"/>
      <c r="AN198" s="190"/>
      <c r="AO198" s="190"/>
      <c r="AP198" s="190"/>
      <c r="AQ198" s="190"/>
      <c r="AR198" s="190"/>
      <c r="AS198" s="190"/>
      <c r="AT198" s="190"/>
      <c r="AU198" s="190"/>
      <c r="AV198" s="190"/>
      <c r="AW198" s="190"/>
      <c r="AX198" s="190"/>
      <c r="AY198" s="190"/>
      <c r="AZ198" s="190"/>
      <c r="BA198" s="190"/>
    </row>
    <row r="199" spans="1:53" ht="12.75" x14ac:dyDescent="0.2">
      <c r="A199" s="192"/>
      <c r="B199" s="190"/>
      <c r="C199" s="190"/>
      <c r="D199" s="190"/>
      <c r="E199" s="190"/>
      <c r="F199" s="190"/>
      <c r="G199" s="190"/>
      <c r="H199" s="190"/>
      <c r="I199" s="190"/>
      <c r="J199" s="190"/>
      <c r="K199" s="190"/>
      <c r="L199" s="190"/>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c r="AM199" s="190"/>
      <c r="AN199" s="190"/>
      <c r="AO199" s="190"/>
      <c r="AP199" s="190"/>
      <c r="AQ199" s="190"/>
      <c r="AR199" s="190"/>
      <c r="AS199" s="190"/>
      <c r="AT199" s="190"/>
      <c r="AU199" s="190"/>
      <c r="AV199" s="190"/>
      <c r="AW199" s="190"/>
      <c r="AX199" s="190"/>
      <c r="AY199" s="190"/>
      <c r="AZ199" s="190"/>
      <c r="BA199" s="190"/>
    </row>
    <row r="200" spans="1:53" ht="12.75" x14ac:dyDescent="0.2">
      <c r="A200" s="192"/>
      <c r="B200" s="190"/>
      <c r="C200" s="190"/>
      <c r="D200" s="190"/>
      <c r="E200" s="190"/>
      <c r="F200" s="190"/>
      <c r="G200" s="190"/>
      <c r="H200" s="190"/>
      <c r="I200" s="190"/>
      <c r="J200" s="190"/>
      <c r="K200" s="190"/>
      <c r="L200" s="190"/>
      <c r="M200" s="190"/>
      <c r="N200" s="190"/>
      <c r="O200" s="190"/>
      <c r="P200" s="190"/>
      <c r="Q200" s="190"/>
      <c r="R200" s="190"/>
      <c r="S200" s="190"/>
      <c r="T200" s="190"/>
      <c r="U200" s="190"/>
      <c r="V200" s="190"/>
      <c r="W200" s="190"/>
      <c r="X200" s="190"/>
      <c r="Y200" s="190"/>
      <c r="Z200" s="190"/>
      <c r="AA200" s="190"/>
      <c r="AB200" s="190"/>
      <c r="AC200" s="190"/>
      <c r="AD200" s="190"/>
      <c r="AE200" s="190"/>
      <c r="AF200" s="190"/>
      <c r="AG200" s="190"/>
      <c r="AH200" s="190"/>
      <c r="AI200" s="190"/>
      <c r="AJ200" s="190"/>
      <c r="AK200" s="190"/>
      <c r="AL200" s="190"/>
      <c r="AM200" s="190"/>
      <c r="AN200" s="190"/>
      <c r="AO200" s="190"/>
      <c r="AP200" s="190"/>
      <c r="AQ200" s="190"/>
      <c r="AR200" s="190"/>
      <c r="AS200" s="190"/>
      <c r="AT200" s="190"/>
      <c r="AU200" s="190"/>
      <c r="AV200" s="190"/>
      <c r="AW200" s="190"/>
      <c r="AX200" s="190"/>
      <c r="AY200" s="190"/>
      <c r="AZ200" s="190"/>
      <c r="BA200" s="190"/>
    </row>
    <row r="201" spans="1:53" ht="12.75" x14ac:dyDescent="0.2">
      <c r="A201" s="192"/>
      <c r="B201" s="190"/>
      <c r="C201" s="190"/>
      <c r="D201" s="190"/>
      <c r="E201" s="190"/>
      <c r="F201" s="190"/>
      <c r="G201" s="190"/>
      <c r="H201" s="190"/>
      <c r="I201" s="190"/>
      <c r="J201" s="190"/>
      <c r="K201" s="190"/>
      <c r="L201" s="190"/>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c r="AM201" s="190"/>
      <c r="AN201" s="190"/>
      <c r="AO201" s="190"/>
      <c r="AP201" s="190"/>
      <c r="AQ201" s="190"/>
      <c r="AR201" s="190"/>
      <c r="AS201" s="190"/>
      <c r="AT201" s="190"/>
      <c r="AU201" s="190"/>
      <c r="AV201" s="190"/>
      <c r="AW201" s="190"/>
      <c r="AX201" s="190"/>
      <c r="AY201" s="190"/>
      <c r="AZ201" s="190"/>
      <c r="BA201" s="190"/>
    </row>
  </sheetData>
  <mergeCells count="22">
    <mergeCell ref="D29:F29"/>
    <mergeCell ref="G29:H29"/>
    <mergeCell ref="A16:H16"/>
    <mergeCell ref="A18:H18"/>
    <mergeCell ref="D28:F28"/>
    <mergeCell ref="G28:H28"/>
    <mergeCell ref="A5:H5"/>
    <mergeCell ref="A7:H7"/>
    <mergeCell ref="A9:H9"/>
    <mergeCell ref="D115:D118"/>
    <mergeCell ref="G115:G118"/>
    <mergeCell ref="D30:F30"/>
    <mergeCell ref="G30:H30"/>
    <mergeCell ref="D31:F31"/>
    <mergeCell ref="G31:H31"/>
    <mergeCell ref="A97:L97"/>
    <mergeCell ref="B109:C109"/>
    <mergeCell ref="D109:E109"/>
    <mergeCell ref="A10:H10"/>
    <mergeCell ref="A12:H12"/>
    <mergeCell ref="A13:H13"/>
    <mergeCell ref="A15:H1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21" zoomScale="80" zoomScaleNormal="100" zoomScaleSheetLayoutView="80" workbookViewId="0">
      <selection activeCell="J26" sqref="J26"/>
    </sheetView>
  </sheetViews>
  <sheetFormatPr defaultRowHeight="15" x14ac:dyDescent="0.25"/>
  <cols>
    <col min="2" max="2" width="37.7109375" customWidth="1"/>
    <col min="3" max="4" width="15.7109375" style="129"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1"/>
      <c r="B1" s="51"/>
      <c r="C1" s="51"/>
      <c r="D1" s="51"/>
      <c r="E1" s="51"/>
      <c r="F1" s="51"/>
      <c r="G1" s="51"/>
      <c r="H1" s="51"/>
      <c r="I1" s="51"/>
      <c r="J1" s="51"/>
      <c r="K1" s="51"/>
      <c r="L1" s="35" t="s">
        <v>65</v>
      </c>
    </row>
    <row r="2" spans="1:12" ht="18.75" x14ac:dyDescent="0.3">
      <c r="A2" s="51"/>
      <c r="B2" s="51"/>
      <c r="C2" s="51"/>
      <c r="D2" s="51"/>
      <c r="E2" s="51"/>
      <c r="F2" s="51"/>
      <c r="G2" s="51"/>
      <c r="H2" s="51"/>
      <c r="I2" s="51"/>
      <c r="J2" s="51"/>
      <c r="K2" s="51"/>
      <c r="L2" s="13" t="s">
        <v>7</v>
      </c>
    </row>
    <row r="3" spans="1:12" ht="18.75" x14ac:dyDescent="0.3">
      <c r="A3" s="51"/>
      <c r="B3" s="51"/>
      <c r="C3" s="51"/>
      <c r="D3" s="51"/>
      <c r="E3" s="51"/>
      <c r="F3" s="51"/>
      <c r="G3" s="51"/>
      <c r="H3" s="51"/>
      <c r="I3" s="51"/>
      <c r="J3" s="51"/>
      <c r="K3" s="51"/>
      <c r="L3" s="13" t="s">
        <v>64</v>
      </c>
    </row>
    <row r="4" spans="1:12" ht="18.75" x14ac:dyDescent="0.3">
      <c r="A4" s="51"/>
      <c r="B4" s="51"/>
      <c r="C4" s="51"/>
      <c r="D4" s="51"/>
      <c r="E4" s="51"/>
      <c r="F4" s="51"/>
      <c r="G4" s="51"/>
      <c r="H4" s="51"/>
      <c r="I4" s="51"/>
      <c r="J4" s="51"/>
      <c r="K4" s="13"/>
      <c r="L4" s="51"/>
    </row>
    <row r="5" spans="1:12" ht="15.75" x14ac:dyDescent="0.25">
      <c r="A5" s="381" t="str">
        <f>'4. паспортбюджет'!A5:O5</f>
        <v>Год раскрытия информации: 2023 год</v>
      </c>
      <c r="B5" s="381"/>
      <c r="C5" s="381"/>
      <c r="D5" s="381"/>
      <c r="E5" s="381"/>
      <c r="F5" s="381"/>
      <c r="G5" s="381"/>
      <c r="H5" s="381"/>
      <c r="I5" s="381"/>
      <c r="J5" s="381"/>
      <c r="K5" s="381"/>
      <c r="L5" s="381"/>
    </row>
    <row r="6" spans="1:12" ht="18.75" x14ac:dyDescent="0.3">
      <c r="A6" s="51"/>
      <c r="B6" s="51"/>
      <c r="C6" s="51"/>
      <c r="D6" s="51"/>
      <c r="E6" s="51"/>
      <c r="F6" s="51"/>
      <c r="G6" s="51"/>
      <c r="H6" s="51"/>
      <c r="I6" s="51"/>
      <c r="J6" s="51"/>
      <c r="K6" s="13"/>
      <c r="L6" s="51"/>
    </row>
    <row r="7" spans="1:12" ht="18.75" x14ac:dyDescent="0.25">
      <c r="A7" s="431" t="s">
        <v>6</v>
      </c>
      <c r="B7" s="431"/>
      <c r="C7" s="431"/>
      <c r="D7" s="431"/>
      <c r="E7" s="431"/>
      <c r="F7" s="431"/>
      <c r="G7" s="431"/>
      <c r="H7" s="431"/>
      <c r="I7" s="431"/>
      <c r="J7" s="431"/>
      <c r="K7" s="431"/>
      <c r="L7" s="431"/>
    </row>
    <row r="8" spans="1:12" ht="18.75" x14ac:dyDescent="0.25">
      <c r="A8" s="431"/>
      <c r="B8" s="431"/>
      <c r="C8" s="431"/>
      <c r="D8" s="431"/>
      <c r="E8" s="431"/>
      <c r="F8" s="431"/>
      <c r="G8" s="431"/>
      <c r="H8" s="431"/>
      <c r="I8" s="431"/>
      <c r="J8" s="431"/>
      <c r="K8" s="431"/>
      <c r="L8" s="431"/>
    </row>
    <row r="9" spans="1:12" x14ac:dyDescent="0.25">
      <c r="A9" s="432" t="str">
        <f>'4. паспортбюджет'!A9:O9</f>
        <v>Акционерное общество "Россети Янтарь"</v>
      </c>
      <c r="B9" s="432"/>
      <c r="C9" s="432"/>
      <c r="D9" s="432"/>
      <c r="E9" s="432"/>
      <c r="F9" s="432"/>
      <c r="G9" s="432"/>
      <c r="H9" s="432"/>
      <c r="I9" s="432"/>
      <c r="J9" s="432"/>
      <c r="K9" s="432"/>
      <c r="L9" s="432"/>
    </row>
    <row r="10" spans="1:12" ht="15.75" x14ac:dyDescent="0.25">
      <c r="A10" s="378" t="s">
        <v>5</v>
      </c>
      <c r="B10" s="378"/>
      <c r="C10" s="378"/>
      <c r="D10" s="378"/>
      <c r="E10" s="378"/>
      <c r="F10" s="378"/>
      <c r="G10" s="378"/>
      <c r="H10" s="378"/>
      <c r="I10" s="378"/>
      <c r="J10" s="378"/>
      <c r="K10" s="378"/>
      <c r="L10" s="378"/>
    </row>
    <row r="11" spans="1:12" ht="18.75" x14ac:dyDescent="0.25">
      <c r="A11" s="431"/>
      <c r="B11" s="431"/>
      <c r="C11" s="431"/>
      <c r="D11" s="431"/>
      <c r="E11" s="431"/>
      <c r="F11" s="431"/>
      <c r="G11" s="431"/>
      <c r="H11" s="431"/>
      <c r="I11" s="431"/>
      <c r="J11" s="431"/>
      <c r="K11" s="431"/>
      <c r="L11" s="431"/>
    </row>
    <row r="12" spans="1:12" x14ac:dyDescent="0.25">
      <c r="A12" s="432" t="str">
        <f>'4. паспортбюджет'!A12:O12</f>
        <v>L_19-0964</v>
      </c>
      <c r="B12" s="432"/>
      <c r="C12" s="432"/>
      <c r="D12" s="432"/>
      <c r="E12" s="432"/>
      <c r="F12" s="432"/>
      <c r="G12" s="432"/>
      <c r="H12" s="432"/>
      <c r="I12" s="432"/>
      <c r="J12" s="432"/>
      <c r="K12" s="432"/>
      <c r="L12" s="432"/>
    </row>
    <row r="13" spans="1:12" ht="15.75" x14ac:dyDescent="0.25">
      <c r="A13" s="378" t="s">
        <v>4</v>
      </c>
      <c r="B13" s="378"/>
      <c r="C13" s="378"/>
      <c r="D13" s="378"/>
      <c r="E13" s="378"/>
      <c r="F13" s="378"/>
      <c r="G13" s="378"/>
      <c r="H13" s="378"/>
      <c r="I13" s="378"/>
      <c r="J13" s="378"/>
      <c r="K13" s="378"/>
      <c r="L13" s="378"/>
    </row>
    <row r="14" spans="1:12" ht="18.75" x14ac:dyDescent="0.25">
      <c r="A14" s="433"/>
      <c r="B14" s="433"/>
      <c r="C14" s="433"/>
      <c r="D14" s="433"/>
      <c r="E14" s="433"/>
      <c r="F14" s="433"/>
      <c r="G14" s="433"/>
      <c r="H14" s="433"/>
      <c r="I14" s="433"/>
      <c r="J14" s="433"/>
      <c r="K14" s="433"/>
      <c r="L14" s="433"/>
    </row>
    <row r="15" spans="1:12" ht="47.25" customHeight="1" x14ac:dyDescent="0.25">
      <c r="A15" s="434" t="str">
        <f>'4. паспортбюджет'!A15:O15</f>
        <v>Строительство КЛ 15 кВ взамен существующей ВЛ 15 кВ № 15-82 (инв. № 5114524) протяженностью 0,52 км в Полесском районе</v>
      </c>
      <c r="B15" s="434"/>
      <c r="C15" s="434"/>
      <c r="D15" s="434"/>
      <c r="E15" s="434"/>
      <c r="F15" s="434"/>
      <c r="G15" s="434"/>
      <c r="H15" s="434"/>
      <c r="I15" s="434"/>
      <c r="J15" s="434"/>
      <c r="K15" s="434"/>
      <c r="L15" s="434"/>
    </row>
    <row r="16" spans="1:12" ht="15.75" x14ac:dyDescent="0.25">
      <c r="A16" s="378" t="s">
        <v>3</v>
      </c>
      <c r="B16" s="378"/>
      <c r="C16" s="378"/>
      <c r="D16" s="378"/>
      <c r="E16" s="378"/>
      <c r="F16" s="378"/>
      <c r="G16" s="378"/>
      <c r="H16" s="378"/>
      <c r="I16" s="378"/>
      <c r="J16" s="378"/>
      <c r="K16" s="378"/>
      <c r="L16" s="378"/>
    </row>
    <row r="17" spans="1:12" ht="15.75" x14ac:dyDescent="0.25">
      <c r="A17" s="51"/>
      <c r="B17" s="51"/>
      <c r="C17" s="51"/>
      <c r="D17" s="51"/>
      <c r="E17" s="51"/>
      <c r="F17" s="51"/>
      <c r="G17" s="51"/>
      <c r="H17" s="51"/>
      <c r="I17" s="51"/>
      <c r="J17" s="51"/>
      <c r="K17" s="51"/>
      <c r="L17" s="130"/>
    </row>
    <row r="18" spans="1:12" ht="15.75" x14ac:dyDescent="0.25">
      <c r="A18" s="51"/>
      <c r="B18" s="51"/>
      <c r="C18" s="51"/>
      <c r="D18" s="51"/>
      <c r="E18" s="51"/>
      <c r="F18" s="51"/>
      <c r="G18" s="51"/>
      <c r="H18" s="51"/>
      <c r="I18" s="51"/>
      <c r="J18" s="51"/>
      <c r="K18" s="62"/>
      <c r="L18" s="51"/>
    </row>
    <row r="19" spans="1:12" ht="15.75" customHeight="1" x14ac:dyDescent="0.25">
      <c r="A19" s="453" t="s">
        <v>366</v>
      </c>
      <c r="B19" s="453"/>
      <c r="C19" s="453"/>
      <c r="D19" s="453"/>
      <c r="E19" s="453"/>
      <c r="F19" s="453"/>
      <c r="G19" s="453"/>
      <c r="H19" s="453"/>
      <c r="I19" s="453"/>
      <c r="J19" s="453"/>
      <c r="K19" s="453"/>
      <c r="L19" s="453"/>
    </row>
    <row r="20" spans="1:12" ht="15.75" x14ac:dyDescent="0.25">
      <c r="A20" s="124"/>
      <c r="F20" s="125"/>
    </row>
    <row r="21" spans="1:12" ht="27" customHeight="1" x14ac:dyDescent="0.25">
      <c r="A21" s="454" t="s">
        <v>193</v>
      </c>
      <c r="B21" s="454" t="s">
        <v>452</v>
      </c>
      <c r="C21" s="455" t="s">
        <v>453</v>
      </c>
      <c r="D21" s="455"/>
      <c r="E21" s="455"/>
      <c r="F21" s="455"/>
      <c r="G21" s="455"/>
      <c r="H21" s="455"/>
      <c r="I21" s="456" t="s">
        <v>192</v>
      </c>
      <c r="J21" s="457" t="s">
        <v>454</v>
      </c>
      <c r="K21" s="454" t="s">
        <v>191</v>
      </c>
      <c r="L21" s="460" t="s">
        <v>455</v>
      </c>
    </row>
    <row r="22" spans="1:12" ht="51" customHeight="1" x14ac:dyDescent="0.25">
      <c r="A22" s="454"/>
      <c r="B22" s="454"/>
      <c r="C22" s="454" t="s">
        <v>561</v>
      </c>
      <c r="D22" s="454"/>
      <c r="E22" s="454" t="s">
        <v>8</v>
      </c>
      <c r="F22" s="454"/>
      <c r="G22" s="454" t="s">
        <v>562</v>
      </c>
      <c r="H22" s="454"/>
      <c r="I22" s="456"/>
      <c r="J22" s="458"/>
      <c r="K22" s="454"/>
      <c r="L22" s="460"/>
    </row>
    <row r="23" spans="1:12" ht="31.5" x14ac:dyDescent="0.25">
      <c r="A23" s="454"/>
      <c r="B23" s="454"/>
      <c r="C23" s="233" t="s">
        <v>190</v>
      </c>
      <c r="D23" s="233" t="s">
        <v>189</v>
      </c>
      <c r="E23" s="233" t="s">
        <v>190</v>
      </c>
      <c r="F23" s="233" t="s">
        <v>189</v>
      </c>
      <c r="G23" s="233" t="s">
        <v>190</v>
      </c>
      <c r="H23" s="233" t="s">
        <v>189</v>
      </c>
      <c r="I23" s="456"/>
      <c r="J23" s="459"/>
      <c r="K23" s="454"/>
      <c r="L23" s="460"/>
    </row>
    <row r="24" spans="1:12" ht="15.75" x14ac:dyDescent="0.25">
      <c r="A24" s="230">
        <v>1</v>
      </c>
      <c r="B24" s="230">
        <v>2</v>
      </c>
      <c r="C24" s="233">
        <v>3</v>
      </c>
      <c r="D24" s="233">
        <v>4</v>
      </c>
      <c r="E24" s="233">
        <v>5</v>
      </c>
      <c r="F24" s="233">
        <v>6</v>
      </c>
      <c r="G24" s="233">
        <v>7</v>
      </c>
      <c r="H24" s="233">
        <v>8</v>
      </c>
      <c r="I24" s="233">
        <v>9</v>
      </c>
      <c r="J24" s="233">
        <v>10</v>
      </c>
      <c r="K24" s="233">
        <v>11</v>
      </c>
      <c r="L24" s="233">
        <v>12</v>
      </c>
    </row>
    <row r="25" spans="1:12" ht="15.75" x14ac:dyDescent="0.25">
      <c r="A25" s="234">
        <v>1</v>
      </c>
      <c r="B25" s="235" t="s">
        <v>188</v>
      </c>
      <c r="C25" s="237"/>
      <c r="D25" s="237"/>
      <c r="E25" s="236"/>
      <c r="F25" s="236"/>
      <c r="G25" s="237"/>
      <c r="H25" s="237"/>
      <c r="I25" s="237"/>
      <c r="J25" s="236"/>
      <c r="K25" s="238"/>
      <c r="L25" s="239"/>
    </row>
    <row r="26" spans="1:12" ht="15.75" x14ac:dyDescent="0.25">
      <c r="A26" s="234" t="s">
        <v>456</v>
      </c>
      <c r="B26" s="240" t="s">
        <v>457</v>
      </c>
      <c r="C26" s="237" t="s">
        <v>413</v>
      </c>
      <c r="D26" s="237" t="s">
        <v>413</v>
      </c>
      <c r="E26" s="236"/>
      <c r="F26" s="236"/>
      <c r="G26" s="237" t="s">
        <v>413</v>
      </c>
      <c r="H26" s="237" t="s">
        <v>413</v>
      </c>
      <c r="I26" s="237"/>
      <c r="J26" s="236"/>
      <c r="K26" s="238"/>
      <c r="L26" s="238"/>
    </row>
    <row r="27" spans="1:12" ht="31.5" x14ac:dyDescent="0.25">
      <c r="A27" s="234" t="s">
        <v>458</v>
      </c>
      <c r="B27" s="240" t="s">
        <v>459</v>
      </c>
      <c r="C27" s="237" t="s">
        <v>413</v>
      </c>
      <c r="D27" s="237" t="s">
        <v>413</v>
      </c>
      <c r="E27" s="236"/>
      <c r="F27" s="236"/>
      <c r="G27" s="237" t="s">
        <v>413</v>
      </c>
      <c r="H27" s="237" t="s">
        <v>413</v>
      </c>
      <c r="I27" s="237"/>
      <c r="J27" s="236"/>
      <c r="K27" s="238"/>
      <c r="L27" s="238"/>
    </row>
    <row r="28" spans="1:12" ht="63" x14ac:dyDescent="0.25">
      <c r="A28" s="234" t="s">
        <v>460</v>
      </c>
      <c r="B28" s="240" t="s">
        <v>461</v>
      </c>
      <c r="C28" s="237" t="s">
        <v>413</v>
      </c>
      <c r="D28" s="237" t="s">
        <v>413</v>
      </c>
      <c r="E28" s="236"/>
      <c r="F28" s="236"/>
      <c r="G28" s="237" t="s">
        <v>413</v>
      </c>
      <c r="H28" s="237" t="s">
        <v>413</v>
      </c>
      <c r="I28" s="237"/>
      <c r="J28" s="236"/>
      <c r="K28" s="238"/>
      <c r="L28" s="238"/>
    </row>
    <row r="29" spans="1:12" ht="31.5" x14ac:dyDescent="0.25">
      <c r="A29" s="234" t="s">
        <v>462</v>
      </c>
      <c r="B29" s="240" t="s">
        <v>463</v>
      </c>
      <c r="C29" s="237" t="s">
        <v>413</v>
      </c>
      <c r="D29" s="237" t="s">
        <v>413</v>
      </c>
      <c r="E29" s="236"/>
      <c r="F29" s="236"/>
      <c r="G29" s="237" t="s">
        <v>413</v>
      </c>
      <c r="H29" s="237" t="s">
        <v>413</v>
      </c>
      <c r="I29" s="237"/>
      <c r="J29" s="236"/>
      <c r="K29" s="238"/>
      <c r="L29" s="238"/>
    </row>
    <row r="30" spans="1:12" ht="31.5" x14ac:dyDescent="0.25">
      <c r="A30" s="234" t="s">
        <v>464</v>
      </c>
      <c r="B30" s="240" t="s">
        <v>465</v>
      </c>
      <c r="C30" s="237" t="s">
        <v>413</v>
      </c>
      <c r="D30" s="237" t="s">
        <v>413</v>
      </c>
      <c r="E30" s="236"/>
      <c r="F30" s="236"/>
      <c r="G30" s="237" t="s">
        <v>413</v>
      </c>
      <c r="H30" s="237" t="s">
        <v>413</v>
      </c>
      <c r="I30" s="237"/>
      <c r="J30" s="236"/>
      <c r="K30" s="238"/>
      <c r="L30" s="238"/>
    </row>
    <row r="31" spans="1:12" ht="31.5" x14ac:dyDescent="0.25">
      <c r="A31" s="234" t="s">
        <v>466</v>
      </c>
      <c r="B31" s="241" t="s">
        <v>330</v>
      </c>
      <c r="C31" s="242">
        <v>44927</v>
      </c>
      <c r="D31" s="242">
        <v>44985</v>
      </c>
      <c r="E31" s="236"/>
      <c r="F31" s="236"/>
      <c r="G31" s="242">
        <v>44927</v>
      </c>
      <c r="H31" s="242">
        <v>44985</v>
      </c>
      <c r="I31" s="236"/>
      <c r="J31" s="236"/>
      <c r="K31" s="238"/>
      <c r="L31" s="238"/>
    </row>
    <row r="32" spans="1:12" ht="31.5" x14ac:dyDescent="0.25">
      <c r="A32" s="234" t="s">
        <v>467</v>
      </c>
      <c r="B32" s="241" t="s">
        <v>468</v>
      </c>
      <c r="C32" s="242">
        <v>44985</v>
      </c>
      <c r="D32" s="242" t="s">
        <v>547</v>
      </c>
      <c r="E32" s="236"/>
      <c r="F32" s="236"/>
      <c r="G32" s="242">
        <v>44985</v>
      </c>
      <c r="H32" s="242" t="s">
        <v>547</v>
      </c>
      <c r="I32" s="236"/>
      <c r="J32" s="236"/>
      <c r="K32" s="238"/>
      <c r="L32" s="238"/>
    </row>
    <row r="33" spans="1:12" ht="47.25" x14ac:dyDescent="0.25">
      <c r="A33" s="234" t="s">
        <v>469</v>
      </c>
      <c r="B33" s="241" t="s">
        <v>470</v>
      </c>
      <c r="C33" s="237" t="s">
        <v>413</v>
      </c>
      <c r="D33" s="237" t="s">
        <v>413</v>
      </c>
      <c r="E33" s="236"/>
      <c r="F33" s="236"/>
      <c r="G33" s="237" t="s">
        <v>413</v>
      </c>
      <c r="H33" s="237" t="s">
        <v>413</v>
      </c>
      <c r="I33" s="237"/>
      <c r="J33" s="236"/>
      <c r="K33" s="238"/>
      <c r="L33" s="238"/>
    </row>
    <row r="34" spans="1:12" ht="63" x14ac:dyDescent="0.25">
      <c r="A34" s="234" t="s">
        <v>471</v>
      </c>
      <c r="B34" s="241" t="s">
        <v>472</v>
      </c>
      <c r="C34" s="237" t="s">
        <v>413</v>
      </c>
      <c r="D34" s="237" t="s">
        <v>413</v>
      </c>
      <c r="E34" s="243"/>
      <c r="F34" s="243"/>
      <c r="G34" s="237" t="s">
        <v>413</v>
      </c>
      <c r="H34" s="237" t="s">
        <v>413</v>
      </c>
      <c r="I34" s="237"/>
      <c r="J34" s="243"/>
      <c r="K34" s="243"/>
      <c r="L34" s="238"/>
    </row>
    <row r="35" spans="1:12" ht="31.5" x14ac:dyDescent="0.25">
      <c r="A35" s="234" t="s">
        <v>473</v>
      </c>
      <c r="B35" s="241" t="s">
        <v>187</v>
      </c>
      <c r="C35" s="242">
        <v>44985</v>
      </c>
      <c r="D35" s="242" t="s">
        <v>547</v>
      </c>
      <c r="E35" s="243"/>
      <c r="F35" s="243"/>
      <c r="G35" s="242">
        <v>44985</v>
      </c>
      <c r="H35" s="242" t="s">
        <v>547</v>
      </c>
      <c r="I35" s="237"/>
      <c r="J35" s="243"/>
      <c r="K35" s="243"/>
      <c r="L35" s="238"/>
    </row>
    <row r="36" spans="1:12" ht="31.5" x14ac:dyDescent="0.25">
      <c r="A36" s="234" t="s">
        <v>474</v>
      </c>
      <c r="B36" s="241" t="s">
        <v>475</v>
      </c>
      <c r="C36" s="237" t="s">
        <v>413</v>
      </c>
      <c r="D36" s="237" t="s">
        <v>413</v>
      </c>
      <c r="E36" s="244"/>
      <c r="F36" s="245"/>
      <c r="G36" s="237" t="s">
        <v>413</v>
      </c>
      <c r="H36" s="237" t="s">
        <v>413</v>
      </c>
      <c r="I36" s="237"/>
      <c r="J36" s="246"/>
      <c r="K36" s="238"/>
      <c r="L36" s="238"/>
    </row>
    <row r="37" spans="1:12" ht="15.75" x14ac:dyDescent="0.25">
      <c r="A37" s="234" t="s">
        <v>476</v>
      </c>
      <c r="B37" s="241" t="s">
        <v>186</v>
      </c>
      <c r="C37" s="242">
        <v>44985</v>
      </c>
      <c r="D37" s="242" t="s">
        <v>547</v>
      </c>
      <c r="E37" s="244"/>
      <c r="F37" s="245"/>
      <c r="G37" s="242">
        <v>44985</v>
      </c>
      <c r="H37" s="242" t="s">
        <v>547</v>
      </c>
      <c r="I37" s="246"/>
      <c r="J37" s="246"/>
      <c r="K37" s="238"/>
      <c r="L37" s="238"/>
    </row>
    <row r="38" spans="1:12" ht="15.75" x14ac:dyDescent="0.25">
      <c r="A38" s="234" t="s">
        <v>477</v>
      </c>
      <c r="B38" s="235" t="s">
        <v>185</v>
      </c>
      <c r="C38" s="237"/>
      <c r="D38" s="247"/>
      <c r="E38" s="238"/>
      <c r="F38" s="238"/>
      <c r="G38" s="237"/>
      <c r="H38" s="247"/>
      <c r="I38" s="246"/>
      <c r="J38" s="238"/>
      <c r="K38" s="238"/>
      <c r="L38" s="238"/>
    </row>
    <row r="39" spans="1:12" ht="63" x14ac:dyDescent="0.25">
      <c r="A39" s="234">
        <v>2</v>
      </c>
      <c r="B39" s="241" t="s">
        <v>478</v>
      </c>
      <c r="C39" s="242" t="s">
        <v>547</v>
      </c>
      <c r="D39" s="242">
        <v>45107</v>
      </c>
      <c r="E39" s="238"/>
      <c r="F39" s="238"/>
      <c r="G39" s="242" t="s">
        <v>547</v>
      </c>
      <c r="H39" s="242">
        <v>45107</v>
      </c>
      <c r="I39" s="238"/>
      <c r="J39" s="238"/>
      <c r="K39" s="238"/>
      <c r="L39" s="238"/>
    </row>
    <row r="40" spans="1:12" ht="15.75" x14ac:dyDescent="0.25">
      <c r="A40" s="234" t="s">
        <v>479</v>
      </c>
      <c r="B40" s="241" t="s">
        <v>480</v>
      </c>
      <c r="C40" s="237" t="s">
        <v>413</v>
      </c>
      <c r="D40" s="237" t="s">
        <v>413</v>
      </c>
      <c r="E40" s="238"/>
      <c r="F40" s="238"/>
      <c r="G40" s="237" t="s">
        <v>413</v>
      </c>
      <c r="H40" s="237" t="s">
        <v>413</v>
      </c>
      <c r="I40" s="237"/>
      <c r="J40" s="238"/>
      <c r="K40" s="238"/>
      <c r="L40" s="238"/>
    </row>
    <row r="41" spans="1:12" ht="47.25" x14ac:dyDescent="0.25">
      <c r="A41" s="234" t="s">
        <v>481</v>
      </c>
      <c r="B41" s="235" t="s">
        <v>482</v>
      </c>
      <c r="C41" s="242"/>
      <c r="D41" s="248"/>
      <c r="E41" s="238"/>
      <c r="F41" s="238"/>
      <c r="G41" s="242"/>
      <c r="H41" s="248"/>
      <c r="I41" s="238"/>
      <c r="J41" s="238"/>
      <c r="K41" s="238"/>
      <c r="L41" s="238"/>
    </row>
    <row r="42" spans="1:12" ht="31.5" x14ac:dyDescent="0.25">
      <c r="A42" s="234">
        <v>3</v>
      </c>
      <c r="B42" s="241" t="s">
        <v>483</v>
      </c>
      <c r="C42" s="242" t="s">
        <v>547</v>
      </c>
      <c r="D42" s="242">
        <v>45107</v>
      </c>
      <c r="E42" s="238"/>
      <c r="F42" s="238"/>
      <c r="G42" s="242" t="s">
        <v>547</v>
      </c>
      <c r="H42" s="242">
        <v>45107</v>
      </c>
      <c r="I42" s="238"/>
      <c r="J42" s="238"/>
      <c r="K42" s="238"/>
      <c r="L42" s="238"/>
    </row>
    <row r="43" spans="1:12" ht="15.75" x14ac:dyDescent="0.25">
      <c r="A43" s="234" t="s">
        <v>484</v>
      </c>
      <c r="B43" s="241" t="s">
        <v>184</v>
      </c>
      <c r="C43" s="237" t="s">
        <v>413</v>
      </c>
      <c r="D43" s="237" t="s">
        <v>413</v>
      </c>
      <c r="E43" s="238"/>
      <c r="F43" s="238"/>
      <c r="G43" s="237" t="s">
        <v>413</v>
      </c>
      <c r="H43" s="237" t="s">
        <v>413</v>
      </c>
      <c r="I43" s="237"/>
      <c r="J43" s="238"/>
      <c r="K43" s="238"/>
      <c r="L43" s="238"/>
    </row>
    <row r="44" spans="1:12" ht="15.75" x14ac:dyDescent="0.25">
      <c r="A44" s="234" t="s">
        <v>485</v>
      </c>
      <c r="B44" s="241" t="s">
        <v>486</v>
      </c>
      <c r="C44" s="237" t="s">
        <v>413</v>
      </c>
      <c r="D44" s="237" t="s">
        <v>413</v>
      </c>
      <c r="E44" s="238"/>
      <c r="F44" s="238"/>
      <c r="G44" s="237" t="s">
        <v>413</v>
      </c>
      <c r="H44" s="237" t="s">
        <v>413</v>
      </c>
      <c r="I44" s="237"/>
      <c r="J44" s="238"/>
      <c r="K44" s="238"/>
      <c r="L44" s="238"/>
    </row>
    <row r="45" spans="1:12" ht="78.75" x14ac:dyDescent="0.25">
      <c r="A45" s="234" t="s">
        <v>487</v>
      </c>
      <c r="B45" s="241" t="s">
        <v>488</v>
      </c>
      <c r="C45" s="237" t="s">
        <v>413</v>
      </c>
      <c r="D45" s="237" t="s">
        <v>413</v>
      </c>
      <c r="E45" s="238"/>
      <c r="F45" s="238"/>
      <c r="G45" s="237" t="s">
        <v>413</v>
      </c>
      <c r="H45" s="237" t="s">
        <v>413</v>
      </c>
      <c r="I45" s="237"/>
      <c r="J45" s="238"/>
      <c r="K45" s="238"/>
      <c r="L45" s="238"/>
    </row>
    <row r="46" spans="1:12" ht="157.5" x14ac:dyDescent="0.25">
      <c r="A46" s="234" t="s">
        <v>489</v>
      </c>
      <c r="B46" s="241" t="s">
        <v>490</v>
      </c>
      <c r="C46" s="237" t="s">
        <v>413</v>
      </c>
      <c r="D46" s="237" t="s">
        <v>413</v>
      </c>
      <c r="E46" s="238"/>
      <c r="F46" s="238"/>
      <c r="G46" s="237" t="s">
        <v>413</v>
      </c>
      <c r="H46" s="237" t="s">
        <v>413</v>
      </c>
      <c r="I46" s="237"/>
      <c r="J46" s="238"/>
      <c r="K46" s="238"/>
      <c r="L46" s="238"/>
    </row>
    <row r="47" spans="1:12" ht="15.75" x14ac:dyDescent="0.25">
      <c r="A47" s="234" t="s">
        <v>491</v>
      </c>
      <c r="B47" s="241" t="s">
        <v>492</v>
      </c>
      <c r="C47" s="242">
        <v>45199</v>
      </c>
      <c r="D47" s="242">
        <v>45214</v>
      </c>
      <c r="E47" s="238"/>
      <c r="F47" s="238"/>
      <c r="G47" s="242">
        <v>45199</v>
      </c>
      <c r="H47" s="242">
        <v>45214</v>
      </c>
      <c r="I47" s="238"/>
      <c r="J47" s="238"/>
      <c r="K47" s="238"/>
      <c r="L47" s="238"/>
    </row>
    <row r="48" spans="1:12" ht="31.5" x14ac:dyDescent="0.25">
      <c r="A48" s="234" t="s">
        <v>493</v>
      </c>
      <c r="B48" s="235" t="s">
        <v>183</v>
      </c>
      <c r="C48" s="242"/>
      <c r="D48" s="248"/>
      <c r="E48" s="238"/>
      <c r="F48" s="238"/>
      <c r="G48" s="242"/>
      <c r="H48" s="248"/>
      <c r="I48" s="238"/>
      <c r="J48" s="238"/>
      <c r="K48" s="238"/>
      <c r="L48" s="238"/>
    </row>
    <row r="49" spans="1:12" ht="31.5" x14ac:dyDescent="0.25">
      <c r="A49" s="234">
        <v>4</v>
      </c>
      <c r="B49" s="241" t="s">
        <v>182</v>
      </c>
      <c r="C49" s="237" t="s">
        <v>413</v>
      </c>
      <c r="D49" s="237" t="s">
        <v>413</v>
      </c>
      <c r="E49" s="238"/>
      <c r="F49" s="238"/>
      <c r="G49" s="237" t="s">
        <v>413</v>
      </c>
      <c r="H49" s="237" t="s">
        <v>413</v>
      </c>
      <c r="I49" s="238"/>
      <c r="J49" s="238"/>
      <c r="K49" s="238"/>
      <c r="L49" s="238"/>
    </row>
    <row r="50" spans="1:12" ht="78.75" x14ac:dyDescent="0.25">
      <c r="A50" s="234" t="s">
        <v>494</v>
      </c>
      <c r="B50" s="241" t="s">
        <v>495</v>
      </c>
      <c r="C50" s="242">
        <v>45214</v>
      </c>
      <c r="D50" s="249">
        <v>45291</v>
      </c>
      <c r="E50" s="238"/>
      <c r="F50" s="238"/>
      <c r="G50" s="242">
        <v>45214</v>
      </c>
      <c r="H50" s="249">
        <v>45291</v>
      </c>
      <c r="I50" s="237"/>
      <c r="J50" s="238"/>
      <c r="K50" s="238"/>
      <c r="L50" s="238"/>
    </row>
    <row r="51" spans="1:12" ht="63" x14ac:dyDescent="0.25">
      <c r="A51" s="234" t="s">
        <v>496</v>
      </c>
      <c r="B51" s="241" t="s">
        <v>497</v>
      </c>
      <c r="C51" s="237" t="s">
        <v>413</v>
      </c>
      <c r="D51" s="237" t="s">
        <v>413</v>
      </c>
      <c r="E51" s="238"/>
      <c r="F51" s="238"/>
      <c r="G51" s="237" t="s">
        <v>413</v>
      </c>
      <c r="H51" s="237" t="s">
        <v>413</v>
      </c>
      <c r="I51" s="238"/>
      <c r="J51" s="238"/>
      <c r="K51" s="238"/>
      <c r="L51" s="238"/>
    </row>
    <row r="52" spans="1:12" ht="63" x14ac:dyDescent="0.25">
      <c r="A52" s="234" t="s">
        <v>498</v>
      </c>
      <c r="B52" s="241" t="s">
        <v>499</v>
      </c>
      <c r="C52" s="237" t="s">
        <v>413</v>
      </c>
      <c r="D52" s="237" t="s">
        <v>413</v>
      </c>
      <c r="E52" s="238"/>
      <c r="F52" s="238"/>
      <c r="G52" s="237" t="s">
        <v>413</v>
      </c>
      <c r="H52" s="237" t="s">
        <v>413</v>
      </c>
      <c r="I52" s="237"/>
      <c r="J52" s="238"/>
      <c r="K52" s="238"/>
      <c r="L52" s="238"/>
    </row>
    <row r="53" spans="1:12" ht="31.5" x14ac:dyDescent="0.25">
      <c r="A53" s="234" t="s">
        <v>500</v>
      </c>
      <c r="B53" s="250" t="s">
        <v>501</v>
      </c>
      <c r="C53" s="242">
        <v>45214</v>
      </c>
      <c r="D53" s="249">
        <v>45291</v>
      </c>
      <c r="E53" s="238"/>
      <c r="F53" s="238"/>
      <c r="G53" s="242">
        <v>45214</v>
      </c>
      <c r="H53" s="249">
        <v>45291</v>
      </c>
      <c r="I53" s="238"/>
      <c r="J53" s="238"/>
      <c r="K53" s="238"/>
      <c r="L53" s="238"/>
    </row>
    <row r="54" spans="1:12" ht="31.5" x14ac:dyDescent="0.25">
      <c r="A54" s="234" t="s">
        <v>502</v>
      </c>
      <c r="B54" s="241" t="s">
        <v>503</v>
      </c>
      <c r="C54" s="237" t="s">
        <v>413</v>
      </c>
      <c r="D54" s="237" t="s">
        <v>413</v>
      </c>
      <c r="E54" s="238"/>
      <c r="F54" s="238"/>
      <c r="G54" s="237" t="s">
        <v>413</v>
      </c>
      <c r="H54" s="237" t="s">
        <v>413</v>
      </c>
      <c r="I54" s="238"/>
      <c r="J54" s="238"/>
      <c r="K54" s="238"/>
      <c r="L54" s="238"/>
    </row>
  </sheetData>
  <mergeCells count="22">
    <mergeCell ref="A5:L5"/>
    <mergeCell ref="A7:L7"/>
    <mergeCell ref="A9:L9"/>
    <mergeCell ref="A10:L10"/>
    <mergeCell ref="A12:L12"/>
    <mergeCell ref="A8:L8"/>
    <mergeCell ref="A11:L11"/>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2023-04-28T09:47:08Z</dcterms:modified>
</cp:coreProperties>
</file>